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4.xml" ContentType="application/vnd.openxmlformats-officedocument.drawingml.char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Default Extension="jpeg" ContentType="image/jpeg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 firstSheet="10" activeTab="25"/>
  </bookViews>
  <sheets>
    <sheet name="RREO" sheetId="13" r:id="rId1"/>
    <sheet name="RCL" sheetId="1" r:id="rId2"/>
    <sheet name="DCLP" sheetId="2" r:id="rId3"/>
    <sheet name="DCLP_RCL" sheetId="9" r:id="rId4"/>
    <sheet name="AcompFAPS" sheetId="3" r:id="rId5"/>
    <sheet name="Cronogra" sheetId="7" r:id="rId6"/>
    <sheet name="Cruz" sheetId="8" r:id="rId7"/>
    <sheet name="Exec_Orç" sheetId="4" r:id="rId8"/>
    <sheet name="Míni" sheetId="6" r:id="rId9"/>
    <sheet name="DespSEDUC" sheetId="5" r:id="rId10"/>
    <sheet name="BalOrç_Out" sheetId="27" r:id="rId11"/>
    <sheet name="Emp" sheetId="11" r:id="rId12"/>
    <sheet name="Liquid" sheetId="10" r:id="rId13"/>
    <sheet name="Pgtos" sheetId="12" r:id="rId14"/>
    <sheet name="Funç" sheetId="14" r:id="rId15"/>
    <sheet name="RCL_Out_Sist" sheetId="15" r:id="rId16"/>
    <sheet name="RPPS" sheetId="16" r:id="rId17"/>
    <sheet name="Result" sheetId="17" r:id="rId18"/>
    <sheet name="Restos" sheetId="18" r:id="rId19"/>
    <sheet name="MDE" sheetId="19" r:id="rId20"/>
    <sheet name="Reg_Ouro" sheetId="20" r:id="rId21"/>
    <sheet name="AlienAplic" sheetId="21" r:id="rId22"/>
    <sheet name="ASPS" sheetId="22" r:id="rId23"/>
    <sheet name="RGF" sheetId="23" r:id="rId24"/>
    <sheet name="Dívida" sheetId="24" r:id="rId25"/>
    <sheet name="Disponib" sheetId="25" r:id="rId26"/>
    <sheet name="Limit" sheetId="26" r:id="rId27"/>
  </sheets>
  <externalReferences>
    <externalReference r:id="rId28"/>
    <externalReference r:id="rId29"/>
  </externalReferences>
  <calcPr calcId="125725"/>
</workbook>
</file>

<file path=xl/calcChain.xml><?xml version="1.0" encoding="utf-8"?>
<calcChain xmlns="http://schemas.openxmlformats.org/spreadsheetml/2006/main">
  <c r="B22" i="26"/>
  <c r="B26"/>
  <c r="B12"/>
  <c r="B18" s="1"/>
  <c r="B11"/>
  <c r="C21" s="1"/>
  <c r="B10"/>
  <c r="C38" i="1"/>
  <c r="C34"/>
  <c r="C35"/>
  <c r="D35"/>
  <c r="D33"/>
  <c r="D37"/>
  <c r="C37"/>
  <c r="I30" i="2"/>
  <c r="R50"/>
  <c r="Q50"/>
  <c r="P50"/>
  <c r="O50"/>
  <c r="N50"/>
  <c r="M50"/>
  <c r="L50"/>
  <c r="K50"/>
  <c r="J50"/>
  <c r="I50"/>
  <c r="J24"/>
  <c r="K30"/>
  <c r="K28"/>
  <c r="L28"/>
  <c r="L6"/>
  <c r="L5"/>
  <c r="O28"/>
  <c r="R28"/>
  <c r="I78" i="8"/>
  <c r="C7" i="1"/>
  <c r="C6"/>
  <c r="C5"/>
  <c r="AB72" i="7"/>
  <c r="AA72"/>
  <c r="S72"/>
  <c r="S73" s="1"/>
  <c r="S71"/>
  <c r="F24" i="5"/>
  <c r="AE67" i="7"/>
  <c r="AE66"/>
  <c r="X85"/>
  <c r="D29" i="13"/>
  <c r="D28"/>
  <c r="D24"/>
  <c r="D34" i="1"/>
  <c r="H24" i="4"/>
  <c r="H27"/>
  <c r="L27"/>
  <c r="H25"/>
  <c r="H26"/>
  <c r="E26"/>
  <c r="L26"/>
  <c r="L20"/>
  <c r="L57" i="7"/>
  <c r="N90"/>
  <c r="L56"/>
  <c r="L58" s="1"/>
  <c r="J57"/>
  <c r="J56"/>
  <c r="J58" s="1"/>
  <c r="N91"/>
  <c r="B30" i="26" l="1"/>
  <c r="C15"/>
  <c r="B33"/>
  <c r="B17"/>
  <c r="B16"/>
  <c r="J20" i="4"/>
  <c r="L12"/>
  <c r="L16"/>
  <c r="L19"/>
  <c r="D63" i="13"/>
  <c r="D71"/>
  <c r="I20" i="6"/>
  <c r="J25"/>
  <c r="J24"/>
  <c r="J23"/>
  <c r="L19"/>
  <c r="L18"/>
  <c r="L17"/>
  <c r="L15"/>
  <c r="L14"/>
  <c r="L13"/>
  <c r="L12"/>
  <c r="L11"/>
  <c r="L10"/>
  <c r="L9"/>
  <c r="L8"/>
  <c r="J19"/>
  <c r="J18"/>
  <c r="J17"/>
  <c r="J15"/>
  <c r="J12"/>
  <c r="H19"/>
  <c r="H18"/>
  <c r="H17"/>
  <c r="H15"/>
  <c r="H14"/>
  <c r="H13"/>
  <c r="H12"/>
  <c r="H11"/>
  <c r="H10"/>
  <c r="H9"/>
  <c r="H8"/>
  <c r="F19"/>
  <c r="F18"/>
  <c r="F17"/>
  <c r="F15"/>
  <c r="F13"/>
  <c r="F12"/>
  <c r="F11"/>
  <c r="F10"/>
  <c r="F9"/>
  <c r="F8"/>
  <c r="D19"/>
  <c r="D18"/>
  <c r="D17"/>
  <c r="D15"/>
  <c r="D12"/>
  <c r="D20"/>
  <c r="D11"/>
  <c r="I20" i="4"/>
  <c r="N12"/>
  <c r="I12"/>
  <c r="N8"/>
  <c r="I8"/>
  <c r="N15"/>
  <c r="N14"/>
  <c r="N13"/>
  <c r="N11"/>
  <c r="N10"/>
  <c r="N9"/>
  <c r="K20"/>
  <c r="F20"/>
  <c r="D20"/>
  <c r="I29" i="8"/>
  <c r="F12"/>
  <c r="F13"/>
  <c r="F14"/>
  <c r="F15"/>
  <c r="F16"/>
  <c r="F17"/>
  <c r="F18"/>
  <c r="F19"/>
  <c r="F20"/>
  <c r="F21"/>
  <c r="F22"/>
  <c r="F23"/>
  <c r="F24"/>
  <c r="F25"/>
  <c r="F26"/>
  <c r="F11"/>
  <c r="H54" i="7"/>
  <c r="H26" i="8"/>
  <c r="AB50" i="7"/>
  <c r="D27" i="13"/>
  <c r="D14" i="1"/>
  <c r="N25" i="3"/>
  <c r="N31" l="1"/>
  <c r="M31"/>
  <c r="O29"/>
  <c r="N29"/>
  <c r="M29"/>
  <c r="O19"/>
  <c r="M22"/>
  <c r="L22"/>
  <c r="M25"/>
  <c r="N20"/>
  <c r="M20"/>
  <c r="O18"/>
  <c r="O17"/>
  <c r="N17"/>
  <c r="N18"/>
  <c r="N19"/>
  <c r="N16"/>
  <c r="O16"/>
  <c r="D18" i="1" l="1"/>
  <c r="D13"/>
  <c r="I28" i="2"/>
  <c r="J6"/>
  <c r="K6"/>
  <c r="M6"/>
  <c r="N6"/>
  <c r="O6"/>
  <c r="Q6"/>
  <c r="Q28" s="1"/>
  <c r="Q30" s="1"/>
  <c r="T6"/>
  <c r="J7"/>
  <c r="K7"/>
  <c r="M7"/>
  <c r="N7"/>
  <c r="L8"/>
  <c r="R8"/>
  <c r="J9"/>
  <c r="K9"/>
  <c r="K8" s="1"/>
  <c r="M9"/>
  <c r="M8" s="1"/>
  <c r="N9"/>
  <c r="N8" s="1"/>
  <c r="O9"/>
  <c r="O8" s="1"/>
  <c r="P9"/>
  <c r="P8" s="1"/>
  <c r="Q9"/>
  <c r="Q8" s="1"/>
  <c r="J10"/>
  <c r="J8" s="1"/>
  <c r="K10"/>
  <c r="M10"/>
  <c r="N10"/>
  <c r="O10"/>
  <c r="P10"/>
  <c r="Q10"/>
  <c r="R10"/>
  <c r="J14"/>
  <c r="M14"/>
  <c r="N14"/>
  <c r="O14"/>
  <c r="P14"/>
  <c r="S14"/>
  <c r="T14"/>
  <c r="S17"/>
  <c r="S18"/>
  <c r="S19"/>
  <c r="T20"/>
  <c r="T21"/>
  <c r="S22"/>
  <c r="T22"/>
  <c r="S23"/>
  <c r="T23"/>
  <c r="J27"/>
  <c r="K27"/>
  <c r="L27"/>
  <c r="M27"/>
  <c r="N27"/>
  <c r="O27"/>
  <c r="P27"/>
  <c r="Q27"/>
  <c r="R27"/>
  <c r="S27"/>
  <c r="T27"/>
  <c r="J28"/>
  <c r="J30" s="1"/>
  <c r="L30"/>
  <c r="M28"/>
  <c r="N28"/>
  <c r="N30" s="1"/>
  <c r="P28"/>
  <c r="P30" s="1"/>
  <c r="R30"/>
  <c r="M30"/>
  <c r="O30"/>
  <c r="S30"/>
  <c r="T30"/>
  <c r="D5" i="1"/>
  <c r="E38"/>
  <c r="F38"/>
  <c r="G38"/>
  <c r="H38"/>
  <c r="I38"/>
  <c r="F6"/>
  <c r="H6"/>
  <c r="J6"/>
  <c r="L6"/>
  <c r="M6"/>
  <c r="N6"/>
  <c r="O6"/>
  <c r="E7"/>
  <c r="F7"/>
  <c r="H7"/>
  <c r="I7"/>
  <c r="E13"/>
  <c r="E8" s="1"/>
  <c r="F13"/>
  <c r="G13"/>
  <c r="G8" s="1"/>
  <c r="H13"/>
  <c r="I13"/>
  <c r="I8" s="1"/>
  <c r="J13"/>
  <c r="K13"/>
  <c r="K8" s="1"/>
  <c r="L13"/>
  <c r="M13"/>
  <c r="M8" s="1"/>
  <c r="N13"/>
  <c r="O13"/>
  <c r="O8" s="1"/>
  <c r="E14"/>
  <c r="F14"/>
  <c r="F8" s="1"/>
  <c r="G14"/>
  <c r="H14"/>
  <c r="H8" s="1"/>
  <c r="I14"/>
  <c r="J14"/>
  <c r="J8" s="1"/>
  <c r="K14"/>
  <c r="L14"/>
  <c r="L8" s="1"/>
  <c r="M14"/>
  <c r="N14"/>
  <c r="N8" s="1"/>
  <c r="O14"/>
  <c r="F16"/>
  <c r="I16"/>
  <c r="O16"/>
  <c r="E18"/>
  <c r="F18"/>
  <c r="G18"/>
  <c r="H18"/>
  <c r="I18"/>
  <c r="J18"/>
  <c r="K18"/>
  <c r="L18"/>
  <c r="M18"/>
  <c r="O18"/>
  <c r="J19"/>
  <c r="K19"/>
  <c r="N19"/>
  <c r="F24"/>
  <c r="G24"/>
  <c r="H24"/>
  <c r="I24"/>
  <c r="J24"/>
  <c r="M24"/>
  <c r="E25"/>
  <c r="F25"/>
  <c r="G25"/>
  <c r="H25"/>
  <c r="I25"/>
  <c r="J25"/>
  <c r="K25"/>
  <c r="L25"/>
  <c r="M25"/>
  <c r="O25"/>
  <c r="H17" i="2"/>
  <c r="H18"/>
  <c r="B29" i="6"/>
  <c r="H27" i="8"/>
  <c r="AE24" i="7"/>
  <c r="I24" i="8"/>
  <c r="AA34" i="7"/>
  <c r="AA33"/>
  <c r="AA32"/>
  <c r="AA31"/>
  <c r="AA30"/>
  <c r="AA29"/>
  <c r="AA28"/>
  <c r="AA27"/>
  <c r="AA26"/>
  <c r="AA25"/>
  <c r="AA24"/>
  <c r="AA35"/>
  <c r="AA36"/>
  <c r="AA39"/>
  <c r="AA38"/>
  <c r="M91"/>
  <c r="L91"/>
  <c r="M93"/>
  <c r="AA61"/>
  <c r="H49"/>
  <c r="D49"/>
  <c r="L31" i="3"/>
  <c r="L29"/>
  <c r="L28"/>
  <c r="N22"/>
  <c r="L23"/>
  <c r="M23" s="1"/>
  <c r="L20"/>
  <c r="L19"/>
  <c r="L25"/>
  <c r="AC73" i="7"/>
  <c r="AD73"/>
  <c r="S8" i="2" l="1"/>
  <c r="T8"/>
  <c r="H23"/>
  <c r="G27" i="6"/>
  <c r="J33"/>
  <c r="I33"/>
  <c r="K23" i="3"/>
  <c r="K22"/>
  <c r="D32" i="4"/>
  <c r="D31"/>
  <c r="D30"/>
  <c r="D19"/>
  <c r="AE42" i="7"/>
  <c r="J13" i="4"/>
  <c r="Z61" i="7"/>
  <c r="Z59"/>
  <c r="Z58"/>
  <c r="Z57"/>
  <c r="D48"/>
  <c r="Z39"/>
  <c r="Z38"/>
  <c r="Z36"/>
  <c r="Z35"/>
  <c r="Z34"/>
  <c r="Z33"/>
  <c r="Z32"/>
  <c r="Z31"/>
  <c r="Z30"/>
  <c r="Z29"/>
  <c r="Z28"/>
  <c r="Z27"/>
  <c r="Z26"/>
  <c r="Z25"/>
  <c r="Z24"/>
  <c r="K31" i="3"/>
  <c r="D33" i="4" l="1"/>
  <c r="G23" i="6"/>
  <c r="K29" i="3"/>
  <c r="K25"/>
  <c r="K20"/>
  <c r="K18"/>
  <c r="H28" i="2"/>
  <c r="E5" i="1"/>
  <c r="H5"/>
  <c r="I5"/>
  <c r="F5"/>
  <c r="F31" s="1"/>
  <c r="F33" s="1"/>
  <c r="J5"/>
  <c r="J31" s="1"/>
  <c r="J33" s="1"/>
  <c r="K5"/>
  <c r="L5"/>
  <c r="L31" s="1"/>
  <c r="L33" s="1"/>
  <c r="M5"/>
  <c r="M31" s="1"/>
  <c r="M33" s="1"/>
  <c r="N5"/>
  <c r="N31" s="1"/>
  <c r="N33" s="1"/>
  <c r="O5"/>
  <c r="O31" s="1"/>
  <c r="O33" s="1"/>
  <c r="G5"/>
  <c r="K91" i="7"/>
  <c r="F91"/>
  <c r="F90"/>
  <c r="J91"/>
  <c r="K31" i="1" l="1"/>
  <c r="K33" s="1"/>
  <c r="K35" s="1"/>
  <c r="V72" i="7"/>
  <c r="V73" s="1"/>
  <c r="H31" i="1"/>
  <c r="H33" s="1"/>
  <c r="W72" i="7"/>
  <c r="W73" s="1"/>
  <c r="G31" i="1"/>
  <c r="G33" s="1"/>
  <c r="U72" i="7"/>
  <c r="U73" s="1"/>
  <c r="I31" i="1"/>
  <c r="I33" s="1"/>
  <c r="I35" s="1"/>
  <c r="Y72" i="7"/>
  <c r="Y73" s="1"/>
  <c r="E31" i="1"/>
  <c r="E33" s="1"/>
  <c r="E35"/>
  <c r="L35"/>
  <c r="J35"/>
  <c r="T72" i="7"/>
  <c r="T73" s="1"/>
  <c r="H35" i="1"/>
  <c r="F35"/>
  <c r="X72" i="7"/>
  <c r="X73" s="1"/>
  <c r="N35" i="1"/>
  <c r="G35"/>
  <c r="O35"/>
  <c r="M35"/>
  <c r="H47" i="7"/>
  <c r="D13" i="6"/>
  <c r="L15" i="4"/>
  <c r="N16"/>
  <c r="L8"/>
  <c r="L5"/>
  <c r="L17"/>
  <c r="N17" s="1"/>
  <c r="L6"/>
  <c r="N6" s="1"/>
  <c r="L7"/>
  <c r="N7" s="1"/>
  <c r="L9"/>
  <c r="L10"/>
  <c r="L11"/>
  <c r="L13"/>
  <c r="L14"/>
  <c r="L18"/>
  <c r="M18" s="1"/>
  <c r="M7"/>
  <c r="M17"/>
  <c r="C32"/>
  <c r="K19"/>
  <c r="J19"/>
  <c r="I19"/>
  <c r="H19"/>
  <c r="L4"/>
  <c r="C18"/>
  <c r="C17"/>
  <c r="C5"/>
  <c r="C6"/>
  <c r="C7"/>
  <c r="C8"/>
  <c r="C9"/>
  <c r="C10"/>
  <c r="C11"/>
  <c r="C12"/>
  <c r="C13"/>
  <c r="C14"/>
  <c r="C15"/>
  <c r="C16"/>
  <c r="C4"/>
  <c r="J28" i="3"/>
  <c r="J29" s="1"/>
  <c r="I28"/>
  <c r="I29" s="1"/>
  <c r="J25"/>
  <c r="J31" s="1"/>
  <c r="G20"/>
  <c r="I19"/>
  <c r="J20"/>
  <c r="J22" s="1"/>
  <c r="Z72" i="7"/>
  <c r="Z73" s="1"/>
  <c r="D47"/>
  <c r="F27" i="8"/>
  <c r="S87" i="7"/>
  <c r="AA47"/>
  <c r="Y61"/>
  <c r="Y59"/>
  <c r="Y58"/>
  <c r="Y57"/>
  <c r="Y39"/>
  <c r="Y38"/>
  <c r="Y36"/>
  <c r="Y35"/>
  <c r="Y34"/>
  <c r="Y33"/>
  <c r="Y32"/>
  <c r="Y31"/>
  <c r="Y30"/>
  <c r="Y29"/>
  <c r="Y28"/>
  <c r="Y27"/>
  <c r="Y26"/>
  <c r="Y25"/>
  <c r="Y24"/>
  <c r="M15" i="4" l="1"/>
  <c r="M14"/>
  <c r="M12"/>
  <c r="M10"/>
  <c r="AE72" i="7"/>
  <c r="M9" i="4"/>
  <c r="M6"/>
  <c r="H20"/>
  <c r="N5"/>
  <c r="M5"/>
  <c r="M13"/>
  <c r="M11"/>
  <c r="M16"/>
  <c r="M8"/>
  <c r="M4"/>
  <c r="M19" l="1"/>
  <c r="H29" i="3"/>
  <c r="I25"/>
  <c r="I31" s="1"/>
  <c r="I20"/>
  <c r="C19" i="6"/>
  <c r="C18"/>
  <c r="C17"/>
  <c r="C16"/>
  <c r="C15"/>
  <c r="C12"/>
  <c r="H91" i="7"/>
  <c r="J90"/>
  <c r="C31" i="4"/>
  <c r="C30"/>
  <c r="B92" i="7"/>
  <c r="E26" i="5"/>
  <c r="C26"/>
  <c r="D26"/>
  <c r="I22" i="3" l="1"/>
  <c r="B26" i="5"/>
  <c r="F30" i="4"/>
  <c r="G30" s="1"/>
  <c r="W61" i="7"/>
  <c r="W59"/>
  <c r="W58"/>
  <c r="W57"/>
  <c r="G29" i="3"/>
  <c r="H17"/>
  <c r="H16"/>
  <c r="H25"/>
  <c r="H31" s="1"/>
  <c r="H18"/>
  <c r="B40" i="5"/>
  <c r="O13" i="7"/>
  <c r="I49" i="2"/>
  <c r="I8"/>
  <c r="I5"/>
  <c r="H6"/>
  <c r="H16"/>
  <c r="H19"/>
  <c r="H20"/>
  <c r="H21"/>
  <c r="H22"/>
  <c r="J5"/>
  <c r="K5"/>
  <c r="K24" s="1"/>
  <c r="L24"/>
  <c r="M5"/>
  <c r="M24" s="1"/>
  <c r="O5"/>
  <c r="O24" s="1"/>
  <c r="P5"/>
  <c r="P24" s="1"/>
  <c r="T5"/>
  <c r="T24" s="1"/>
  <c r="T50" s="1"/>
  <c r="S5"/>
  <c r="S24" s="1"/>
  <c r="S50" s="1"/>
  <c r="R5"/>
  <c r="R24" s="1"/>
  <c r="Q5"/>
  <c r="Q24" s="1"/>
  <c r="N5"/>
  <c r="N24" s="1"/>
  <c r="C10" i="1"/>
  <c r="C9"/>
  <c r="C14"/>
  <c r="C13"/>
  <c r="C4"/>
  <c r="J36" i="8"/>
  <c r="G24"/>
  <c r="AD119" i="7"/>
  <c r="AC119"/>
  <c r="AD126" s="1"/>
  <c r="AB119"/>
  <c r="AA119"/>
  <c r="Z119"/>
  <c r="Y119"/>
  <c r="Z126" s="1"/>
  <c r="X119"/>
  <c r="W119"/>
  <c r="T119"/>
  <c r="S119"/>
  <c r="AE94"/>
  <c r="AD94"/>
  <c r="AC94"/>
  <c r="AB94"/>
  <c r="AA94"/>
  <c r="Z94"/>
  <c r="Y94"/>
  <c r="X94"/>
  <c r="W94"/>
  <c r="V94"/>
  <c r="U94"/>
  <c r="T94"/>
  <c r="S94"/>
  <c r="O90"/>
  <c r="M90"/>
  <c r="L90"/>
  <c r="K90"/>
  <c r="H90"/>
  <c r="E90"/>
  <c r="D90"/>
  <c r="B90"/>
  <c r="A90"/>
  <c r="B91" s="1"/>
  <c r="AD89"/>
  <c r="AC89"/>
  <c r="AD99" s="1"/>
  <c r="AB89"/>
  <c r="AA89"/>
  <c r="Z89"/>
  <c r="Y89"/>
  <c r="X89"/>
  <c r="W89"/>
  <c r="T89"/>
  <c r="S89"/>
  <c r="R89"/>
  <c r="Q89"/>
  <c r="R81"/>
  <c r="Q81"/>
  <c r="AE78"/>
  <c r="AD78"/>
  <c r="AC78"/>
  <c r="AB78"/>
  <c r="AA78"/>
  <c r="Z78"/>
  <c r="Y78"/>
  <c r="X78"/>
  <c r="W78"/>
  <c r="V78"/>
  <c r="U78"/>
  <c r="T78"/>
  <c r="S78"/>
  <c r="AE63"/>
  <c r="AE62"/>
  <c r="V61"/>
  <c r="U61"/>
  <c r="AE61" s="1"/>
  <c r="AD60"/>
  <c r="AC60"/>
  <c r="AB60"/>
  <c r="AA60"/>
  <c r="Z60"/>
  <c r="Y60"/>
  <c r="X60"/>
  <c r="W60"/>
  <c r="V60"/>
  <c r="U60"/>
  <c r="T60"/>
  <c r="S60"/>
  <c r="V59"/>
  <c r="U59"/>
  <c r="AE59" s="1"/>
  <c r="V58"/>
  <c r="AE58" s="1"/>
  <c r="V57"/>
  <c r="U57"/>
  <c r="AE57" s="1"/>
  <c r="AD56"/>
  <c r="AD71" s="1"/>
  <c r="AC56"/>
  <c r="AC71" s="1"/>
  <c r="AB56"/>
  <c r="AB71" s="1"/>
  <c r="AB73" s="1"/>
  <c r="AA56"/>
  <c r="AA71" s="1"/>
  <c r="Z56"/>
  <c r="Z71" s="1"/>
  <c r="Y56"/>
  <c r="Y71" s="1"/>
  <c r="X56"/>
  <c r="X71" s="1"/>
  <c r="W56"/>
  <c r="W71" s="1"/>
  <c r="V56"/>
  <c r="V71" s="1"/>
  <c r="U56"/>
  <c r="U71" s="1"/>
  <c r="T56"/>
  <c r="T71" s="1"/>
  <c r="S56"/>
  <c r="L52"/>
  <c r="L51"/>
  <c r="L50"/>
  <c r="L49"/>
  <c r="L48"/>
  <c r="L47"/>
  <c r="L46"/>
  <c r="L45"/>
  <c r="H44"/>
  <c r="D44"/>
  <c r="L44" s="1"/>
  <c r="D43"/>
  <c r="L42"/>
  <c r="J42"/>
  <c r="F42"/>
  <c r="L41"/>
  <c r="J41"/>
  <c r="F41"/>
  <c r="AD40"/>
  <c r="AD87" s="1"/>
  <c r="AC40"/>
  <c r="AC87" s="1"/>
  <c r="AB40"/>
  <c r="AB87" s="1"/>
  <c r="AA40"/>
  <c r="AA87" s="1"/>
  <c r="Z40"/>
  <c r="Z87" s="1"/>
  <c r="Y40"/>
  <c r="Y87" s="1"/>
  <c r="X40"/>
  <c r="X87" s="1"/>
  <c r="W40"/>
  <c r="W87" s="1"/>
  <c r="T40"/>
  <c r="T87" s="1"/>
  <c r="S40"/>
  <c r="V39"/>
  <c r="U39"/>
  <c r="AE39" s="1"/>
  <c r="V38"/>
  <c r="U38"/>
  <c r="AE38" s="1"/>
  <c r="AE37"/>
  <c r="V36"/>
  <c r="U36"/>
  <c r="AE36" s="1"/>
  <c r="V35"/>
  <c r="U35"/>
  <c r="AE35" s="1"/>
  <c r="V34"/>
  <c r="U34"/>
  <c r="AE34" s="1"/>
  <c r="B34"/>
  <c r="C34" s="1"/>
  <c r="V33"/>
  <c r="V89" s="1"/>
  <c r="U33"/>
  <c r="U89" s="1"/>
  <c r="L33"/>
  <c r="J52" s="1"/>
  <c r="H33"/>
  <c r="C33"/>
  <c r="V32"/>
  <c r="V119" s="1"/>
  <c r="U32"/>
  <c r="U119" s="1"/>
  <c r="J32"/>
  <c r="C32"/>
  <c r="AE31"/>
  <c r="V31"/>
  <c r="H31"/>
  <c r="C31"/>
  <c r="V30"/>
  <c r="U30"/>
  <c r="AE30" s="1"/>
  <c r="J30"/>
  <c r="H30"/>
  <c r="D30"/>
  <c r="L30" s="1"/>
  <c r="C30"/>
  <c r="V29"/>
  <c r="U29"/>
  <c r="AE29" s="1"/>
  <c r="J29"/>
  <c r="F29"/>
  <c r="C29"/>
  <c r="AE28"/>
  <c r="V28"/>
  <c r="F28"/>
  <c r="C28"/>
  <c r="V27"/>
  <c r="U27"/>
  <c r="U40" s="1"/>
  <c r="J27"/>
  <c r="C27"/>
  <c r="V26"/>
  <c r="AE26" s="1"/>
  <c r="J26"/>
  <c r="K26" s="1"/>
  <c r="H26"/>
  <c r="C26"/>
  <c r="V25"/>
  <c r="AE25" s="1"/>
  <c r="J25"/>
  <c r="D25"/>
  <c r="C25"/>
  <c r="V24"/>
  <c r="V40" s="1"/>
  <c r="L24"/>
  <c r="H24"/>
  <c r="C24"/>
  <c r="J23"/>
  <c r="F23"/>
  <c r="F34" s="1"/>
  <c r="C23"/>
  <c r="N22"/>
  <c r="K22"/>
  <c r="J22"/>
  <c r="J34" s="1"/>
  <c r="K34" s="1"/>
  <c r="C22"/>
  <c r="O21"/>
  <c r="N21"/>
  <c r="L21"/>
  <c r="J21"/>
  <c r="H21"/>
  <c r="F21"/>
  <c r="D21"/>
  <c r="B21"/>
  <c r="L16"/>
  <c r="F52" s="1"/>
  <c r="H16"/>
  <c r="B16"/>
  <c r="J15"/>
  <c r="H14"/>
  <c r="F14"/>
  <c r="J13"/>
  <c r="H13"/>
  <c r="F13"/>
  <c r="J12"/>
  <c r="D12"/>
  <c r="J11"/>
  <c r="J10"/>
  <c r="H10"/>
  <c r="F10"/>
  <c r="J9"/>
  <c r="H9"/>
  <c r="F9"/>
  <c r="N9" s="1"/>
  <c r="D9"/>
  <c r="L9" s="1"/>
  <c r="J8"/>
  <c r="H8"/>
  <c r="D7"/>
  <c r="L7" s="1"/>
  <c r="J6"/>
  <c r="H6"/>
  <c r="F6"/>
  <c r="N6" s="1"/>
  <c r="N5"/>
  <c r="O5" s="1"/>
  <c r="B5"/>
  <c r="B17" s="1"/>
  <c r="AD4"/>
  <c r="AC4"/>
  <c r="AB4"/>
  <c r="AA4"/>
  <c r="Z4"/>
  <c r="Y4"/>
  <c r="X4"/>
  <c r="W4"/>
  <c r="V4"/>
  <c r="U4"/>
  <c r="T4"/>
  <c r="S4"/>
  <c r="AE4" s="1"/>
  <c r="I37" i="6"/>
  <c r="L35"/>
  <c r="L34"/>
  <c r="E34"/>
  <c r="K38"/>
  <c r="K39" s="1"/>
  <c r="D33"/>
  <c r="C33"/>
  <c r="B33"/>
  <c r="D32"/>
  <c r="C32"/>
  <c r="B32"/>
  <c r="K27"/>
  <c r="K28" s="1"/>
  <c r="J26"/>
  <c r="L26" s="1"/>
  <c r="L25"/>
  <c r="G26"/>
  <c r="L24"/>
  <c r="G25"/>
  <c r="C20"/>
  <c r="E16"/>
  <c r="F16" s="1"/>
  <c r="K15"/>
  <c r="I15"/>
  <c r="G15"/>
  <c r="E15"/>
  <c r="K14"/>
  <c r="G14"/>
  <c r="E14"/>
  <c r="F14" s="1"/>
  <c r="C14"/>
  <c r="K13"/>
  <c r="G13"/>
  <c r="E13"/>
  <c r="C13"/>
  <c r="K12"/>
  <c r="I12"/>
  <c r="G12"/>
  <c r="E12"/>
  <c r="K11"/>
  <c r="G11"/>
  <c r="E11"/>
  <c r="K10"/>
  <c r="G10"/>
  <c r="E10"/>
  <c r="K8"/>
  <c r="G8"/>
  <c r="E8"/>
  <c r="D31"/>
  <c r="B37" i="5"/>
  <c r="C34" s="1"/>
  <c r="E36"/>
  <c r="C36"/>
  <c r="E35"/>
  <c r="C35"/>
  <c r="E34"/>
  <c r="E33"/>
  <c r="C33"/>
  <c r="E32"/>
  <c r="K26"/>
  <c r="K33" s="1"/>
  <c r="J26"/>
  <c r="J33" s="1"/>
  <c r="I26"/>
  <c r="I33" s="1"/>
  <c r="H26"/>
  <c r="L24"/>
  <c r="L23"/>
  <c r="F23"/>
  <c r="L22"/>
  <c r="F22"/>
  <c r="L21"/>
  <c r="F21"/>
  <c r="L20"/>
  <c r="F20"/>
  <c r="L19"/>
  <c r="F19"/>
  <c r="K15"/>
  <c r="J15"/>
  <c r="J17" s="1"/>
  <c r="I15"/>
  <c r="H15"/>
  <c r="E15"/>
  <c r="D15"/>
  <c r="C15"/>
  <c r="L14"/>
  <c r="F14"/>
  <c r="L13"/>
  <c r="F13"/>
  <c r="L12"/>
  <c r="F12"/>
  <c r="L11"/>
  <c r="F11"/>
  <c r="L10"/>
  <c r="F10"/>
  <c r="F31" i="4"/>
  <c r="G31" s="1"/>
  <c r="F32"/>
  <c r="G32" s="1"/>
  <c r="G31" i="3"/>
  <c r="E31"/>
  <c r="F29"/>
  <c r="E29"/>
  <c r="F25"/>
  <c r="F31" s="1"/>
  <c r="D25"/>
  <c r="G22"/>
  <c r="F20"/>
  <c r="E20"/>
  <c r="E22" s="1"/>
  <c r="D20"/>
  <c r="D22" s="1"/>
  <c r="F17"/>
  <c r="H15" i="2"/>
  <c r="I27"/>
  <c r="J49"/>
  <c r="K49"/>
  <c r="L49"/>
  <c r="M49"/>
  <c r="N49"/>
  <c r="O49"/>
  <c r="P49"/>
  <c r="Q49"/>
  <c r="R49"/>
  <c r="S49"/>
  <c r="T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26"/>
  <c r="H25"/>
  <c r="H13"/>
  <c r="H12"/>
  <c r="H11"/>
  <c r="H10"/>
  <c r="H9"/>
  <c r="H7"/>
  <c r="J3"/>
  <c r="E4" i="9" s="1"/>
  <c r="K3" i="2"/>
  <c r="F4" i="9" s="1"/>
  <c r="L3" i="2"/>
  <c r="G4" i="9" s="1"/>
  <c r="M3" i="2"/>
  <c r="H4" i="9" s="1"/>
  <c r="N3" i="2"/>
  <c r="I4" i="9" s="1"/>
  <c r="O3" i="2"/>
  <c r="J4" i="9" s="1"/>
  <c r="P3" i="2"/>
  <c r="K4" i="9" s="1"/>
  <c r="Q3" i="2"/>
  <c r="L4" i="9" s="1"/>
  <c r="R3" i="2"/>
  <c r="M4" i="9" s="1"/>
  <c r="S3" i="2"/>
  <c r="N4" i="9" s="1"/>
  <c r="T3" i="2"/>
  <c r="O4" i="9" s="1"/>
  <c r="I3" i="2"/>
  <c r="D4" i="9" s="1"/>
  <c r="C15" i="1"/>
  <c r="C16"/>
  <c r="C17"/>
  <c r="C18"/>
  <c r="C19"/>
  <c r="C20"/>
  <c r="C22"/>
  <c r="C23"/>
  <c r="C24"/>
  <c r="C25"/>
  <c r="C26"/>
  <c r="C27"/>
  <c r="C28"/>
  <c r="C29"/>
  <c r="C30"/>
  <c r="C32"/>
  <c r="C36"/>
  <c r="C41" i="5" l="1"/>
  <c r="C40"/>
  <c r="O92" i="7"/>
  <c r="N92"/>
  <c r="G41" i="5"/>
  <c r="G22" i="8"/>
  <c r="E15" i="4" s="1"/>
  <c r="G15" s="1"/>
  <c r="G23" i="8"/>
  <c r="E16" i="4" s="1"/>
  <c r="G26" i="8"/>
  <c r="E18" i="4" s="1"/>
  <c r="G25" i="8"/>
  <c r="E17" i="4" s="1"/>
  <c r="G21" i="8"/>
  <c r="E14" i="4" s="1"/>
  <c r="G14" s="1"/>
  <c r="G18" i="8"/>
  <c r="E11" i="4" s="1"/>
  <c r="G11" s="1"/>
  <c r="G17" i="8"/>
  <c r="E10" i="4" s="1"/>
  <c r="G10" s="1"/>
  <c r="G16" i="8"/>
  <c r="E9" i="4" s="1"/>
  <c r="G9" s="1"/>
  <c r="G15" i="8"/>
  <c r="E8" i="4" s="1"/>
  <c r="G13" i="8"/>
  <c r="E6" i="4" s="1"/>
  <c r="G6" s="1"/>
  <c r="G12" i="8"/>
  <c r="E5" i="4" s="1"/>
  <c r="G5" s="1"/>
  <c r="M92" i="7"/>
  <c r="AA73"/>
  <c r="AE71"/>
  <c r="AE73" s="1"/>
  <c r="J27" i="6"/>
  <c r="J28" s="1"/>
  <c r="I32" i="5"/>
  <c r="K32"/>
  <c r="K34" s="1"/>
  <c r="Z99" i="7"/>
  <c r="J32" i="5"/>
  <c r="J34" s="1"/>
  <c r="D33" s="1"/>
  <c r="F33" s="1"/>
  <c r="L15"/>
  <c r="F15"/>
  <c r="C21" i="6"/>
  <c r="L23"/>
  <c r="L27" s="1"/>
  <c r="L28" s="1"/>
  <c r="F26" i="5"/>
  <c r="L26"/>
  <c r="D17"/>
  <c r="F22" i="3"/>
  <c r="H20"/>
  <c r="H22" s="1"/>
  <c r="D31"/>
  <c r="C19" i="4"/>
  <c r="G16"/>
  <c r="G8"/>
  <c r="I34" i="5"/>
  <c r="D28"/>
  <c r="E37"/>
  <c r="K17" s="1"/>
  <c r="H41" s="1"/>
  <c r="I38" i="6"/>
  <c r="I39" s="1"/>
  <c r="E33"/>
  <c r="E32"/>
  <c r="I6" i="9"/>
  <c r="K6"/>
  <c r="N6"/>
  <c r="M6"/>
  <c r="O6"/>
  <c r="L6"/>
  <c r="H5" i="2"/>
  <c r="K37" i="1"/>
  <c r="K7" i="9" s="1"/>
  <c r="G37" i="1"/>
  <c r="I27" i="8"/>
  <c r="J37" i="1"/>
  <c r="J7" i="9" s="1"/>
  <c r="D8" i="1"/>
  <c r="D31" s="1"/>
  <c r="H29" i="2"/>
  <c r="H30"/>
  <c r="H14"/>
  <c r="F37" i="1"/>
  <c r="H37"/>
  <c r="L37"/>
  <c r="L7" i="9" s="1"/>
  <c r="I37" i="1"/>
  <c r="I7" i="9" s="1"/>
  <c r="N37" i="1"/>
  <c r="N7" i="9" s="1"/>
  <c r="M37" i="1"/>
  <c r="M7" i="9" s="1"/>
  <c r="E37" i="1"/>
  <c r="O37"/>
  <c r="O7" i="9" s="1"/>
  <c r="J16" i="8"/>
  <c r="K16" s="1"/>
  <c r="J18"/>
  <c r="K18" s="1"/>
  <c r="J26"/>
  <c r="K26" s="1"/>
  <c r="J17"/>
  <c r="K17" s="1"/>
  <c r="J21"/>
  <c r="K21" s="1"/>
  <c r="J23"/>
  <c r="K23" s="1"/>
  <c r="J25"/>
  <c r="K25" s="1"/>
  <c r="J22"/>
  <c r="K22" s="1"/>
  <c r="J24"/>
  <c r="K24" s="1"/>
  <c r="J12"/>
  <c r="K12" s="1"/>
  <c r="J15"/>
  <c r="K15" s="1"/>
  <c r="B36" i="7"/>
  <c r="C17"/>
  <c r="C15"/>
  <c r="C12"/>
  <c r="C11"/>
  <c r="C10"/>
  <c r="C8"/>
  <c r="C7"/>
  <c r="C16"/>
  <c r="C14"/>
  <c r="C13"/>
  <c r="C9"/>
  <c r="C6"/>
  <c r="C5"/>
  <c r="F45"/>
  <c r="O9"/>
  <c r="G34"/>
  <c r="G31"/>
  <c r="G27"/>
  <c r="G26"/>
  <c r="G22"/>
  <c r="G33"/>
  <c r="G32"/>
  <c r="G30"/>
  <c r="G28"/>
  <c r="G25"/>
  <c r="G24"/>
  <c r="J49"/>
  <c r="N10"/>
  <c r="I14"/>
  <c r="N31"/>
  <c r="N7"/>
  <c r="O7"/>
  <c r="N30"/>
  <c r="O30" s="1"/>
  <c r="J43"/>
  <c r="V87"/>
  <c r="V41"/>
  <c r="V126"/>
  <c r="V99"/>
  <c r="AE60"/>
  <c r="O6"/>
  <c r="L8"/>
  <c r="N8"/>
  <c r="L12"/>
  <c r="N12"/>
  <c r="O12" s="1"/>
  <c r="L13"/>
  <c r="N13"/>
  <c r="N16"/>
  <c r="O16" s="1"/>
  <c r="D17"/>
  <c r="F17"/>
  <c r="H17"/>
  <c r="J17"/>
  <c r="K23"/>
  <c r="N23"/>
  <c r="O23" s="1"/>
  <c r="N24"/>
  <c r="O24" s="1"/>
  <c r="L25"/>
  <c r="N25"/>
  <c r="L26"/>
  <c r="N26"/>
  <c r="K27"/>
  <c r="K28"/>
  <c r="K29"/>
  <c r="K30"/>
  <c r="K31"/>
  <c r="O31"/>
  <c r="L32"/>
  <c r="N32"/>
  <c r="O32" s="1"/>
  <c r="AE32"/>
  <c r="N33"/>
  <c r="O33" s="1"/>
  <c r="AE33"/>
  <c r="D34"/>
  <c r="H34"/>
  <c r="F43"/>
  <c r="T120"/>
  <c r="X120"/>
  <c r="Z120"/>
  <c r="AB120"/>
  <c r="AD120"/>
  <c r="U87"/>
  <c r="U90" s="1"/>
  <c r="U41"/>
  <c r="V120"/>
  <c r="V90"/>
  <c r="AE56"/>
  <c r="G6"/>
  <c r="E7"/>
  <c r="I8"/>
  <c r="L10"/>
  <c r="L11"/>
  <c r="I13"/>
  <c r="L14"/>
  <c r="L15"/>
  <c r="O22"/>
  <c r="G23"/>
  <c r="K24"/>
  <c r="K25"/>
  <c r="I26"/>
  <c r="L27"/>
  <c r="AE27"/>
  <c r="L28"/>
  <c r="G29"/>
  <c r="L29"/>
  <c r="I31"/>
  <c r="L31"/>
  <c r="K32"/>
  <c r="K33"/>
  <c r="T90"/>
  <c r="X90"/>
  <c r="Z90"/>
  <c r="AB90"/>
  <c r="AD90"/>
  <c r="T41"/>
  <c r="X41"/>
  <c r="Z41"/>
  <c r="AB41"/>
  <c r="AD41"/>
  <c r="L43"/>
  <c r="L53" s="1"/>
  <c r="J44"/>
  <c r="D53"/>
  <c r="D54" s="1"/>
  <c r="S64"/>
  <c r="S65" s="1"/>
  <c r="U64"/>
  <c r="U65" s="1"/>
  <c r="W64"/>
  <c r="W65" s="1"/>
  <c r="Y64"/>
  <c r="Y65" s="1"/>
  <c r="AA64"/>
  <c r="AA65" s="1"/>
  <c r="AC64"/>
  <c r="AC65" s="1"/>
  <c r="S90"/>
  <c r="W90"/>
  <c r="Y90"/>
  <c r="AA90"/>
  <c r="AC90"/>
  <c r="D91"/>
  <c r="T99"/>
  <c r="X99"/>
  <c r="AB99"/>
  <c r="S120"/>
  <c r="W120"/>
  <c r="Y120"/>
  <c r="AA120"/>
  <c r="AC120"/>
  <c r="T126"/>
  <c r="X126"/>
  <c r="AB126"/>
  <c r="S41"/>
  <c r="W41"/>
  <c r="Y41"/>
  <c r="AA41"/>
  <c r="AC41"/>
  <c r="F44"/>
  <c r="H53"/>
  <c r="T64"/>
  <c r="T65" s="1"/>
  <c r="V64"/>
  <c r="V65" s="1"/>
  <c r="X64"/>
  <c r="X65" s="1"/>
  <c r="Z64"/>
  <c r="Z65" s="1"/>
  <c r="AB64"/>
  <c r="AB65" s="1"/>
  <c r="AD64"/>
  <c r="AD65" s="1"/>
  <c r="C90"/>
  <c r="E91"/>
  <c r="AE119"/>
  <c r="W122" s="1"/>
  <c r="E9" i="6"/>
  <c r="G9"/>
  <c r="K9"/>
  <c r="E17"/>
  <c r="G17"/>
  <c r="I17"/>
  <c r="K17"/>
  <c r="E18"/>
  <c r="G18"/>
  <c r="I18"/>
  <c r="K18"/>
  <c r="E19"/>
  <c r="G19"/>
  <c r="I19"/>
  <c r="K19"/>
  <c r="D21"/>
  <c r="D23"/>
  <c r="C29"/>
  <c r="B30"/>
  <c r="D30"/>
  <c r="C31"/>
  <c r="J37"/>
  <c r="E35" s="1"/>
  <c r="D29"/>
  <c r="C30"/>
  <c r="B31"/>
  <c r="L33"/>
  <c r="B15" i="5"/>
  <c r="C32"/>
  <c r="F33" i="4"/>
  <c r="G33"/>
  <c r="C33"/>
  <c r="F19"/>
  <c r="E23" i="3"/>
  <c r="H6" i="9"/>
  <c r="F6"/>
  <c r="I24" i="2"/>
  <c r="G6" i="9"/>
  <c r="E6"/>
  <c r="H49" i="2"/>
  <c r="H27"/>
  <c r="C42" i="5" l="1"/>
  <c r="J13" i="8"/>
  <c r="K13" s="1"/>
  <c r="H29"/>
  <c r="H7" i="9"/>
  <c r="H8" s="1"/>
  <c r="I21" i="6"/>
  <c r="G24" s="1"/>
  <c r="G11" i="8"/>
  <c r="J55" i="7"/>
  <c r="G7" i="9"/>
  <c r="E32" i="4"/>
  <c r="H32" s="1"/>
  <c r="G18"/>
  <c r="F23" i="3"/>
  <c r="G23" s="1"/>
  <c r="H23" s="1"/>
  <c r="I23" s="1"/>
  <c r="J23" s="1"/>
  <c r="F7" i="9"/>
  <c r="F8" s="1"/>
  <c r="D22" i="6"/>
  <c r="E7" i="9"/>
  <c r="E8" s="1"/>
  <c r="S85" i="7"/>
  <c r="C20" i="4"/>
  <c r="L37" i="6"/>
  <c r="C43" i="7"/>
  <c r="C44"/>
  <c r="E31" i="4"/>
  <c r="H31" s="1"/>
  <c r="G17"/>
  <c r="G20" i="8"/>
  <c r="G19"/>
  <c r="G14"/>
  <c r="AE40" i="7"/>
  <c r="AE41" s="1"/>
  <c r="D36" i="5"/>
  <c r="F36" s="1"/>
  <c r="D34"/>
  <c r="F34" s="1"/>
  <c r="D35"/>
  <c r="F35" s="1"/>
  <c r="AC122" i="7"/>
  <c r="X122"/>
  <c r="Y122"/>
  <c r="AB122"/>
  <c r="M8" i="9"/>
  <c r="C8" i="1"/>
  <c r="K8" i="9"/>
  <c r="G8"/>
  <c r="J6"/>
  <c r="J8" s="1"/>
  <c r="L8"/>
  <c r="H8" i="2"/>
  <c r="N8" i="9"/>
  <c r="I8"/>
  <c r="O8"/>
  <c r="C31" i="1"/>
  <c r="I52" i="7"/>
  <c r="I51"/>
  <c r="I50"/>
  <c r="I49"/>
  <c r="I48"/>
  <c r="I47"/>
  <c r="I46"/>
  <c r="I45"/>
  <c r="G53"/>
  <c r="I43"/>
  <c r="I42"/>
  <c r="I41"/>
  <c r="J48"/>
  <c r="J47"/>
  <c r="J46"/>
  <c r="F50"/>
  <c r="F47"/>
  <c r="E34"/>
  <c r="E33"/>
  <c r="E32"/>
  <c r="E29"/>
  <c r="E24"/>
  <c r="E23"/>
  <c r="E31"/>
  <c r="E28"/>
  <c r="E27"/>
  <c r="E26"/>
  <c r="E22"/>
  <c r="J36"/>
  <c r="J18"/>
  <c r="K17"/>
  <c r="K16"/>
  <c r="K15"/>
  <c r="K14"/>
  <c r="K11"/>
  <c r="K10"/>
  <c r="K9"/>
  <c r="K7"/>
  <c r="K5"/>
  <c r="F36"/>
  <c r="F18"/>
  <c r="G17"/>
  <c r="G15"/>
  <c r="G11"/>
  <c r="G8"/>
  <c r="G16"/>
  <c r="G12"/>
  <c r="G10"/>
  <c r="G9"/>
  <c r="G7"/>
  <c r="G5"/>
  <c r="AE122"/>
  <c r="C52"/>
  <c r="C51"/>
  <c r="C50"/>
  <c r="C49"/>
  <c r="C48"/>
  <c r="C47"/>
  <c r="C46"/>
  <c r="C45"/>
  <c r="C42"/>
  <c r="C41"/>
  <c r="J50"/>
  <c r="F51"/>
  <c r="F46"/>
  <c r="O10"/>
  <c r="AE64"/>
  <c r="I34"/>
  <c r="I32"/>
  <c r="I28"/>
  <c r="I25"/>
  <c r="I33"/>
  <c r="I30"/>
  <c r="I29"/>
  <c r="I27"/>
  <c r="I24"/>
  <c r="I23"/>
  <c r="I22"/>
  <c r="AE89"/>
  <c r="J51"/>
  <c r="J45"/>
  <c r="H36"/>
  <c r="I17"/>
  <c r="I12"/>
  <c r="I7"/>
  <c r="I5"/>
  <c r="H18"/>
  <c r="I16"/>
  <c r="I15"/>
  <c r="I11"/>
  <c r="I10"/>
  <c r="I9"/>
  <c r="D36"/>
  <c r="E17"/>
  <c r="E16"/>
  <c r="E14"/>
  <c r="E13"/>
  <c r="E6"/>
  <c r="E5"/>
  <c r="D18"/>
  <c r="E15"/>
  <c r="E11"/>
  <c r="E10"/>
  <c r="E9"/>
  <c r="E8"/>
  <c r="F49"/>
  <c r="F48"/>
  <c r="AE126"/>
  <c r="U120"/>
  <c r="N29"/>
  <c r="O29" s="1"/>
  <c r="N28"/>
  <c r="O28" s="1"/>
  <c r="N14"/>
  <c r="K8"/>
  <c r="G13"/>
  <c r="K6"/>
  <c r="I44"/>
  <c r="AD122"/>
  <c r="Z122"/>
  <c r="T122"/>
  <c r="AE99"/>
  <c r="AA122"/>
  <c r="S122"/>
  <c r="E30"/>
  <c r="G14"/>
  <c r="K12"/>
  <c r="V122"/>
  <c r="O14"/>
  <c r="U122"/>
  <c r="L34"/>
  <c r="M28" s="1"/>
  <c r="N27"/>
  <c r="N34" s="1"/>
  <c r="O26"/>
  <c r="E25"/>
  <c r="N15"/>
  <c r="O15" s="1"/>
  <c r="N11"/>
  <c r="N17" s="1"/>
  <c r="I6"/>
  <c r="L17"/>
  <c r="M11" s="1"/>
  <c r="O25"/>
  <c r="K13"/>
  <c r="E12"/>
  <c r="O8"/>
  <c r="J21" i="6"/>
  <c r="H21"/>
  <c r="E21"/>
  <c r="L21"/>
  <c r="F21"/>
  <c r="K21"/>
  <c r="G21"/>
  <c r="C37" i="5"/>
  <c r="D32"/>
  <c r="E17"/>
  <c r="H40" s="1"/>
  <c r="H42" s="1"/>
  <c r="G40"/>
  <c r="G42" s="1"/>
  <c r="C33" i="1"/>
  <c r="D6" i="9"/>
  <c r="E4" i="4" l="1"/>
  <c r="G4" s="1"/>
  <c r="H35" i="8"/>
  <c r="J11"/>
  <c r="K11" s="1"/>
  <c r="G27"/>
  <c r="H34" s="1"/>
  <c r="C34" s="1"/>
  <c r="J14"/>
  <c r="K14" s="1"/>
  <c r="E7" i="4"/>
  <c r="G7" s="1"/>
  <c r="J19" i="8"/>
  <c r="K19" s="1"/>
  <c r="E12" i="4"/>
  <c r="G12" s="1"/>
  <c r="J20" i="8"/>
  <c r="K20" s="1"/>
  <c r="E13" i="4"/>
  <c r="G13" s="1"/>
  <c r="C35" i="8"/>
  <c r="F53" i="7"/>
  <c r="AF60"/>
  <c r="U85"/>
  <c r="T85" s="1"/>
  <c r="J53"/>
  <c r="AF24"/>
  <c r="C6" i="9"/>
  <c r="J36" i="6"/>
  <c r="G28"/>
  <c r="C53" i="7"/>
  <c r="AF33"/>
  <c r="AF32"/>
  <c r="AF27"/>
  <c r="H24" i="2"/>
  <c r="H50" s="1"/>
  <c r="Y18" i="7"/>
  <c r="Y15"/>
  <c r="Y14"/>
  <c r="Y11"/>
  <c r="Y10"/>
  <c r="Y9"/>
  <c r="Y7"/>
  <c r="Y6"/>
  <c r="Y19"/>
  <c r="Y17"/>
  <c r="Y16"/>
  <c r="Y13"/>
  <c r="Y81" s="1"/>
  <c r="Y12"/>
  <c r="Y8"/>
  <c r="Y5"/>
  <c r="N36"/>
  <c r="N18"/>
  <c r="S95"/>
  <c r="AA95"/>
  <c r="V95"/>
  <c r="X95"/>
  <c r="AB95"/>
  <c r="Y95"/>
  <c r="U95"/>
  <c r="W95"/>
  <c r="T95"/>
  <c r="Z95"/>
  <c r="AD95"/>
  <c r="AC95"/>
  <c r="V85"/>
  <c r="Y85" s="1"/>
  <c r="AE65"/>
  <c r="AF62"/>
  <c r="AF58"/>
  <c r="AF61"/>
  <c r="AF59"/>
  <c r="AF57"/>
  <c r="AF63"/>
  <c r="M10"/>
  <c r="M31"/>
  <c r="O27"/>
  <c r="O34" s="1"/>
  <c r="I53"/>
  <c r="L36"/>
  <c r="L19"/>
  <c r="M17"/>
  <c r="M5"/>
  <c r="L18"/>
  <c r="M6"/>
  <c r="M7"/>
  <c r="M9"/>
  <c r="M16"/>
  <c r="M34"/>
  <c r="M23"/>
  <c r="M22"/>
  <c r="M30"/>
  <c r="M24"/>
  <c r="M33"/>
  <c r="AE87"/>
  <c r="AE120" s="1"/>
  <c r="AF40"/>
  <c r="AF31"/>
  <c r="AF28"/>
  <c r="AF29"/>
  <c r="AF30"/>
  <c r="AF39"/>
  <c r="AF34"/>
  <c r="AF36"/>
  <c r="AF25"/>
  <c r="AF26"/>
  <c r="AF38"/>
  <c r="AF35"/>
  <c r="AF37"/>
  <c r="M25"/>
  <c r="M8"/>
  <c r="M12"/>
  <c r="M13"/>
  <c r="M26"/>
  <c r="M32"/>
  <c r="AF56"/>
  <c r="AF64" s="1"/>
  <c r="M15"/>
  <c r="O11"/>
  <c r="O17" s="1"/>
  <c r="M14"/>
  <c r="M27"/>
  <c r="M29"/>
  <c r="D37" i="5"/>
  <c r="E38" s="1"/>
  <c r="F32"/>
  <c r="F37" s="1"/>
  <c r="D38" i="1"/>
  <c r="J27" i="8" l="1"/>
  <c r="L19"/>
  <c r="G19" i="4"/>
  <c r="G20" s="1"/>
  <c r="E30"/>
  <c r="L25" i="8"/>
  <c r="L16"/>
  <c r="L22"/>
  <c r="L11"/>
  <c r="L20"/>
  <c r="L21"/>
  <c r="L12"/>
  <c r="L23"/>
  <c r="L24"/>
  <c r="L13"/>
  <c r="L26"/>
  <c r="L18"/>
  <c r="L15"/>
  <c r="L17"/>
  <c r="L14"/>
  <c r="G29"/>
  <c r="E19" i="4"/>
  <c r="E20" s="1"/>
  <c r="G30" i="6"/>
  <c r="H30" s="1"/>
  <c r="G29"/>
  <c r="H30" i="4"/>
  <c r="H33" s="1"/>
  <c r="W85" i="7"/>
  <c r="E33" i="4"/>
  <c r="F38" i="5"/>
  <c r="D38" s="1"/>
  <c r="J38" i="6"/>
  <c r="J39" s="1"/>
  <c r="L36"/>
  <c r="L38" s="1"/>
  <c r="L39" s="1"/>
  <c r="D7" i="9"/>
  <c r="C7" s="1"/>
  <c r="O36" i="7"/>
  <c r="O18"/>
  <c r="AC18"/>
  <c r="AC15"/>
  <c r="AC14"/>
  <c r="AC11"/>
  <c r="AC10"/>
  <c r="AC9"/>
  <c r="AC7"/>
  <c r="AC6"/>
  <c r="AC19"/>
  <c r="AC17"/>
  <c r="AC16"/>
  <c r="AC13"/>
  <c r="AC81" s="1"/>
  <c r="AC12"/>
  <c r="AC8"/>
  <c r="AC5"/>
  <c r="AC20" s="1"/>
  <c r="AA18"/>
  <c r="AA15"/>
  <c r="AA14"/>
  <c r="AA11"/>
  <c r="AA10"/>
  <c r="AA9"/>
  <c r="AA7"/>
  <c r="AA6"/>
  <c r="AA19"/>
  <c r="AA17"/>
  <c r="AA16"/>
  <c r="AA13"/>
  <c r="AA81" s="1"/>
  <c r="AA12"/>
  <c r="AA8"/>
  <c r="AA5"/>
  <c r="W18"/>
  <c r="W15"/>
  <c r="W14"/>
  <c r="W11"/>
  <c r="W10"/>
  <c r="W9"/>
  <c r="W7"/>
  <c r="W6"/>
  <c r="W19"/>
  <c r="W17"/>
  <c r="W16"/>
  <c r="W13"/>
  <c r="W81" s="1"/>
  <c r="W12"/>
  <c r="W8"/>
  <c r="W5"/>
  <c r="W20" s="1"/>
  <c r="T19"/>
  <c r="T17"/>
  <c r="T16"/>
  <c r="T13"/>
  <c r="T81" s="1"/>
  <c r="T12"/>
  <c r="T8"/>
  <c r="T5"/>
  <c r="T18"/>
  <c r="T15"/>
  <c r="T14"/>
  <c r="T11"/>
  <c r="T10"/>
  <c r="T9"/>
  <c r="T7"/>
  <c r="T6"/>
  <c r="S18"/>
  <c r="S15"/>
  <c r="S14"/>
  <c r="S11"/>
  <c r="S10"/>
  <c r="S9"/>
  <c r="S7"/>
  <c r="S6"/>
  <c r="S19"/>
  <c r="S17"/>
  <c r="S16"/>
  <c r="S13"/>
  <c r="S12"/>
  <c r="S8"/>
  <c r="S5"/>
  <c r="Y115"/>
  <c r="Y110"/>
  <c r="AE90"/>
  <c r="Y20"/>
  <c r="AB19"/>
  <c r="AB17"/>
  <c r="AB16"/>
  <c r="AB13"/>
  <c r="AB81" s="1"/>
  <c r="AB12"/>
  <c r="AB8"/>
  <c r="AB5"/>
  <c r="AB18"/>
  <c r="AB15"/>
  <c r="AB14"/>
  <c r="AB11"/>
  <c r="AB10"/>
  <c r="AB9"/>
  <c r="AB7"/>
  <c r="AB6"/>
  <c r="V19"/>
  <c r="V17"/>
  <c r="V16"/>
  <c r="V13"/>
  <c r="V81" s="1"/>
  <c r="V12"/>
  <c r="V8"/>
  <c r="V5"/>
  <c r="V20" s="1"/>
  <c r="V18"/>
  <c r="V15"/>
  <c r="V14"/>
  <c r="V11"/>
  <c r="V10"/>
  <c r="V9"/>
  <c r="V7"/>
  <c r="V6"/>
  <c r="Z19"/>
  <c r="Z17"/>
  <c r="Z16"/>
  <c r="Z13"/>
  <c r="Z81" s="1"/>
  <c r="Z12"/>
  <c r="Z8"/>
  <c r="Z5"/>
  <c r="Z18"/>
  <c r="Z15"/>
  <c r="Z14"/>
  <c r="Z11"/>
  <c r="Z10"/>
  <c r="Z9"/>
  <c r="Z7"/>
  <c r="Z6"/>
  <c r="AD19"/>
  <c r="AD17"/>
  <c r="AD16"/>
  <c r="AD13"/>
  <c r="AD81" s="1"/>
  <c r="AD12"/>
  <c r="AD8"/>
  <c r="AD5"/>
  <c r="AD18"/>
  <c r="AD15"/>
  <c r="AD14"/>
  <c r="AD11"/>
  <c r="AD10"/>
  <c r="AD9"/>
  <c r="AD7"/>
  <c r="AD6"/>
  <c r="U18"/>
  <c r="U15"/>
  <c r="U14"/>
  <c r="U11"/>
  <c r="U10"/>
  <c r="U9"/>
  <c r="U7"/>
  <c r="U6"/>
  <c r="U19"/>
  <c r="U17"/>
  <c r="U16"/>
  <c r="U13"/>
  <c r="U81" s="1"/>
  <c r="U12"/>
  <c r="U8"/>
  <c r="U5"/>
  <c r="X19"/>
  <c r="X17"/>
  <c r="X16"/>
  <c r="X13"/>
  <c r="X81" s="1"/>
  <c r="X12"/>
  <c r="X8"/>
  <c r="X5"/>
  <c r="X18"/>
  <c r="X15"/>
  <c r="X14"/>
  <c r="X11"/>
  <c r="X10"/>
  <c r="X9"/>
  <c r="X7"/>
  <c r="X6"/>
  <c r="Y102"/>
  <c r="L27" i="8" l="1"/>
  <c r="Z85" i="7"/>
  <c r="AA85" s="1"/>
  <c r="I40" i="6"/>
  <c r="K40"/>
  <c r="J40"/>
  <c r="C8" i="9"/>
  <c r="D8"/>
  <c r="AD115" i="7"/>
  <c r="AD110"/>
  <c r="Z102"/>
  <c r="V115"/>
  <c r="V110"/>
  <c r="AB102"/>
  <c r="Y79"/>
  <c r="Y82" s="1"/>
  <c r="AE5"/>
  <c r="S20"/>
  <c r="S115"/>
  <c r="S110"/>
  <c r="AE12"/>
  <c r="T102"/>
  <c r="W79"/>
  <c r="W115"/>
  <c r="W110"/>
  <c r="W111" s="1"/>
  <c r="AA102"/>
  <c r="AC79"/>
  <c r="AC115"/>
  <c r="AC110"/>
  <c r="AC111" s="1"/>
  <c r="AE16"/>
  <c r="AE19"/>
  <c r="AE7"/>
  <c r="AE10"/>
  <c r="AE14"/>
  <c r="AE18"/>
  <c r="X115"/>
  <c r="X110"/>
  <c r="U102"/>
  <c r="V79"/>
  <c r="X102"/>
  <c r="U115"/>
  <c r="U110"/>
  <c r="AD102"/>
  <c r="Z115"/>
  <c r="Z110"/>
  <c r="V102"/>
  <c r="V82"/>
  <c r="AB115"/>
  <c r="AB110"/>
  <c r="S81"/>
  <c r="AE13"/>
  <c r="T115"/>
  <c r="T110"/>
  <c r="W102"/>
  <c r="W82"/>
  <c r="AA115"/>
  <c r="AA110"/>
  <c r="AC102"/>
  <c r="AC82"/>
  <c r="X20"/>
  <c r="AD20"/>
  <c r="U20"/>
  <c r="Z20"/>
  <c r="AB20"/>
  <c r="AE8"/>
  <c r="AE17"/>
  <c r="AE6"/>
  <c r="AE9"/>
  <c r="AE11"/>
  <c r="AE15"/>
  <c r="T20"/>
  <c r="AA20"/>
  <c r="T79" l="1"/>
  <c r="T82" s="1"/>
  <c r="Z79"/>
  <c r="Z82" s="1"/>
  <c r="AD79"/>
  <c r="AD82" s="1"/>
  <c r="AE81"/>
  <c r="AE110"/>
  <c r="AE20"/>
  <c r="AA79"/>
  <c r="AA82" s="1"/>
  <c r="AB22"/>
  <c r="AA21"/>
  <c r="AB79"/>
  <c r="AB82" s="1"/>
  <c r="U79"/>
  <c r="U82" s="1"/>
  <c r="V22"/>
  <c r="X79"/>
  <c r="X82" s="1"/>
  <c r="X21"/>
  <c r="S102"/>
  <c r="S82"/>
  <c r="S79"/>
  <c r="T22"/>
  <c r="S21"/>
  <c r="AF6"/>
  <c r="AA111"/>
  <c r="T111"/>
  <c r="AB111"/>
  <c r="Z111"/>
  <c r="U111"/>
  <c r="AF7"/>
  <c r="AE115"/>
  <c r="Z22"/>
  <c r="AF15"/>
  <c r="AF17"/>
  <c r="AF18"/>
  <c r="AF10"/>
  <c r="AF19"/>
  <c r="Y111"/>
  <c r="AD22"/>
  <c r="X22"/>
  <c r="S111"/>
  <c r="V111"/>
  <c r="AD111"/>
  <c r="S51" l="1"/>
  <c r="S50"/>
  <c r="S49"/>
  <c r="S47"/>
  <c r="S46"/>
  <c r="S45"/>
  <c r="AA51"/>
  <c r="AA50"/>
  <c r="AA49"/>
  <c r="AA48" s="1"/>
  <c r="AA46"/>
  <c r="AA45"/>
  <c r="AE79"/>
  <c r="AF22"/>
  <c r="AE21"/>
  <c r="AF4"/>
  <c r="AE95"/>
  <c r="Y21"/>
  <c r="W21"/>
  <c r="AC21"/>
  <c r="V21"/>
  <c r="AF12"/>
  <c r="AF13"/>
  <c r="AD21"/>
  <c r="T21"/>
  <c r="X51"/>
  <c r="X50"/>
  <c r="X49"/>
  <c r="X47"/>
  <c r="X46"/>
  <c r="X45"/>
  <c r="X44" s="1"/>
  <c r="AE102"/>
  <c r="AE82"/>
  <c r="X111"/>
  <c r="AF9"/>
  <c r="AF16"/>
  <c r="AF14"/>
  <c r="AF8"/>
  <c r="AF11"/>
  <c r="AE22"/>
  <c r="U21"/>
  <c r="AB21"/>
  <c r="AF5"/>
  <c r="AE111"/>
  <c r="Z21"/>
  <c r="Z51" l="1"/>
  <c r="Z50"/>
  <c r="Z49"/>
  <c r="Z48" s="1"/>
  <c r="Z47"/>
  <c r="Z46"/>
  <c r="Z45"/>
  <c r="T51"/>
  <c r="T50"/>
  <c r="T49"/>
  <c r="T48" s="1"/>
  <c r="T47"/>
  <c r="T46"/>
  <c r="AE46" s="1"/>
  <c r="T45"/>
  <c r="V51"/>
  <c r="V50"/>
  <c r="V49"/>
  <c r="V48" s="1"/>
  <c r="V47"/>
  <c r="V46"/>
  <c r="V45"/>
  <c r="W51"/>
  <c r="W50"/>
  <c r="W49"/>
  <c r="W48" s="1"/>
  <c r="W47"/>
  <c r="W46"/>
  <c r="W45"/>
  <c r="S48"/>
  <c r="U51"/>
  <c r="U50"/>
  <c r="U49"/>
  <c r="U47"/>
  <c r="U46"/>
  <c r="U45"/>
  <c r="U44" s="1"/>
  <c r="AB51"/>
  <c r="AB49"/>
  <c r="AB47"/>
  <c r="AB46"/>
  <c r="AB45"/>
  <c r="AB44" s="1"/>
  <c r="AD51"/>
  <c r="AD50"/>
  <c r="AD49"/>
  <c r="AD47"/>
  <c r="AD46"/>
  <c r="AD45"/>
  <c r="AD44" s="1"/>
  <c r="AC51"/>
  <c r="AC50"/>
  <c r="AC49"/>
  <c r="AC47"/>
  <c r="AC46"/>
  <c r="AC45"/>
  <c r="AC44" s="1"/>
  <c r="Y51"/>
  <c r="AE51" s="1"/>
  <c r="Y50"/>
  <c r="AE50" s="1"/>
  <c r="Y49"/>
  <c r="AE49" s="1"/>
  <c r="Y47"/>
  <c r="Y46"/>
  <c r="Y45"/>
  <c r="Y44" s="1"/>
  <c r="S44"/>
  <c r="S52" s="1"/>
  <c r="X48"/>
  <c r="X52" s="1"/>
  <c r="AF20"/>
  <c r="AA44"/>
  <c r="AA52" s="1"/>
  <c r="AE47"/>
  <c r="X54" l="1"/>
  <c r="X53"/>
  <c r="AE48"/>
  <c r="S54"/>
  <c r="S53"/>
  <c r="AA54"/>
  <c r="AA53"/>
  <c r="AE45"/>
  <c r="AE44" s="1"/>
  <c r="AE52" s="1"/>
  <c r="Y48"/>
  <c r="Y52" s="1"/>
  <c r="AC48"/>
  <c r="AC52" s="1"/>
  <c r="AD48"/>
  <c r="AD52" s="1"/>
  <c r="AB48"/>
  <c r="AB52" s="1"/>
  <c r="U48"/>
  <c r="U52" s="1"/>
  <c r="W44"/>
  <c r="W52" s="1"/>
  <c r="V44"/>
  <c r="V52" s="1"/>
  <c r="T44"/>
  <c r="T52" s="1"/>
  <c r="Z44"/>
  <c r="Z52" s="1"/>
  <c r="AD54" l="1"/>
  <c r="AD53"/>
  <c r="U54"/>
  <c r="U53"/>
  <c r="Y54"/>
  <c r="Y53"/>
  <c r="AB54"/>
  <c r="AB53"/>
  <c r="AC54"/>
  <c r="AC53"/>
  <c r="T53"/>
  <c r="T54" s="1"/>
  <c r="W53"/>
  <c r="W54" s="1"/>
  <c r="Z53"/>
  <c r="Z54" s="1"/>
  <c r="V53"/>
  <c r="V54" s="1"/>
  <c r="AE54" l="1"/>
  <c r="AE53"/>
</calcChain>
</file>

<file path=xl/sharedStrings.xml><?xml version="1.0" encoding="utf-8"?>
<sst xmlns="http://schemas.openxmlformats.org/spreadsheetml/2006/main" count="7986" uniqueCount="3524">
  <si>
    <t>Lei Complementar Federal Nº 101/2000 - Inciso I do Artigo 53</t>
  </si>
  <si>
    <t>DEMONSTRATIVO DA RECEITA CORRENTE LÍQUIDA</t>
  </si>
  <si>
    <t>I - RECEITAS CORRENTES</t>
  </si>
  <si>
    <t>Receitas Correntes</t>
  </si>
  <si>
    <t>(R)  Deduções das Receitas Correntes</t>
  </si>
  <si>
    <t>II - DEDUÇÕES</t>
  </si>
  <si>
    <t>Contribuições para Custeio dos Sistemas Previdenciário e Assistencial</t>
  </si>
  <si>
    <t>Contribuições Sociais Específicas de Estados, DF e Municípios</t>
  </si>
  <si>
    <t>Compensação Previdenciária ao RPPS</t>
  </si>
  <si>
    <t>Receitas do RPPS - Remuneração e Outras Receitas</t>
  </si>
  <si>
    <t>TOTAIS:</t>
  </si>
  <si>
    <t>Período:</t>
  </si>
  <si>
    <t>Receitas do Fundo de Assistência Social Social dos Servidores</t>
  </si>
  <si>
    <t>Remuneração de Depósitos Bancários de Recursos Vinculados - Fundo de Assistência Social</t>
  </si>
  <si>
    <t>Receitas Diretamente Arrecadadas pelo Fundo de Assistência Social dos Servidores</t>
  </si>
  <si>
    <t>Receitas do Fundo de Assistência à Saúde do Servidor</t>
  </si>
  <si>
    <t>Outras Contribuições Sociais</t>
  </si>
  <si>
    <t>Outras Contribuições Sociais (1)</t>
  </si>
  <si>
    <t>( - ) Compensação Previdenciárfia à Prefeitura Municipal</t>
  </si>
  <si>
    <t>( - ) Contribuição dos Inativos e Pensionistas à Prefeitura Municipal</t>
  </si>
  <si>
    <t>( R ) Todas as contas dedutoras de receita correspondentes às utilizadas acima</t>
  </si>
  <si>
    <t>III - SUBTOTAL (III = I - II)</t>
  </si>
  <si>
    <t>IV - ( + ) Perda para o FUNDEB</t>
  </si>
  <si>
    <t>V - RECEITA CORRENTE LÍQUIDA (V = III + V)</t>
  </si>
  <si>
    <t>VI - Valor das Emendas Parlamentares de Individuais</t>
  </si>
  <si>
    <t>VIII - Valor das Emendas Parlamentares de Bancada</t>
  </si>
  <si>
    <t>IX - RECEITA CORRENTE LIQUIDA (Despesas com Pessoal) (IX = VII - VIII)</t>
  </si>
  <si>
    <t>( 1 ) A Natureza de Receita 1.2.9.99.1.0.00.00.00 - Demais Contribuições Socias deverá ser detalhada conforme a necessidade do Orgão para a contabilização das contribuições para Fundos de Assitência Médica dos Servidores Municipais.</t>
  </si>
  <si>
    <t>( 2 ) Valor correspondente à Soma das Receitas Arrecadadas no período com os complementos de recurso vínculado código 3110 - transferências da União decorrentes de Emendas Pralamentares Individuais e 3410 - TransferÊncias da União decorrentes de Emndas Parlamentares Individuais - COVID-19.</t>
  </si>
  <si>
    <t>( 3 ) Valor correspondente à Soma das Receitas Arrecadadas no período com os complementos de recurso vínculado código 3120 - transferências da União decorrentes de Emendas Parlamentares de bancada e 3150 - Transferências da União decorrentes de Mendas Parlamentares de Emndas Parlamentares de Bancada - COVID-19.</t>
  </si>
  <si>
    <t>1.2.1.8.00.0.0.00.00.00</t>
  </si>
  <si>
    <t>1.3.2.1.00.4.0.00.00.00</t>
  </si>
  <si>
    <t>1.9.9.0.99.1.X.01.00.00</t>
  </si>
  <si>
    <t>1.9.9.0.99.1.X.02.00.00</t>
  </si>
  <si>
    <t>1.9.9.0.99.1.X.03.00.00</t>
  </si>
  <si>
    <t>1.2.1.9.00.0.0.00.00.00</t>
  </si>
  <si>
    <t>(1.2.1.9.99.1.X.02.00.00)</t>
  </si>
  <si>
    <t>(1.2.1.9.99.1.X.01.00.00)</t>
  </si>
  <si>
    <t>12º Mês</t>
  </si>
  <si>
    <t>11º mês</t>
  </si>
  <si>
    <t>10º Mês</t>
  </si>
  <si>
    <t>9º Mês</t>
  </si>
  <si>
    <t>8º Mês</t>
  </si>
  <si>
    <t>7º Mês</t>
  </si>
  <si>
    <t>Discriminação</t>
  </si>
  <si>
    <t>Códificação:</t>
  </si>
  <si>
    <t>1.0.0.0.0.00.00.00</t>
  </si>
  <si>
    <t>9.1.0.0.0.00.0.0.00.00.00.00</t>
  </si>
  <si>
    <t>Modelo 2 - Demonstrativo da Despesa com Pessoal</t>
  </si>
  <si>
    <t>Lei Complementar Federal nº 101/2000, artigo 54 e alínea "a" do inciso I do artigo 55</t>
  </si>
  <si>
    <t>Despesa Líquidada</t>
  </si>
  <si>
    <t>I - NATUREZA DE DESPESA</t>
  </si>
  <si>
    <t>Pessoal e encargos sociais</t>
  </si>
  <si>
    <t>Outras Despesas de Pessoal de Contratos de Terceirização - Substituição de mão de obra (art. 18, § 1º da LRF)</t>
  </si>
  <si>
    <t>Pensões do RPPS e do Militar (com Recursos do RPPS)</t>
  </si>
  <si>
    <t>Ajuda de Custo</t>
  </si>
  <si>
    <t>Remoções</t>
  </si>
  <si>
    <t>Despesas de Exercícios Anteriores</t>
  </si>
  <si>
    <t>Indenizações e Restituições Trabalhistas</t>
  </si>
  <si>
    <t>III - TOTAL DAS NATUREZAS DE DESPESA (I - II)</t>
  </si>
  <si>
    <t>Recursos para cobertura de Insuficências Financeiras</t>
  </si>
  <si>
    <t>Recursos para cobertura de Déficit Financeiro</t>
  </si>
  <si>
    <t>Cálculo Despesa c/ Pessoal 1º e 2º Quadrimestre/1º Semestre: Emp. Não Liquidados</t>
  </si>
  <si>
    <t>Cálculo Despesa c/ Pessoal 3º Quadrimestre/2º Semestre: Restos a Pagar Não Processados</t>
  </si>
  <si>
    <t>V - TOTAL DOS EMPENHOS NÃO LÍQUIDADOS - RESTOS A PAGAR NÃO PROCESSADOS</t>
  </si>
  <si>
    <t>Informação da Execução do Consórcio p/ consolidação - maio a Dez</t>
  </si>
  <si>
    <t>Informação da Execução do Consórcio p/ consolidação - Exercício atual - 1º Bimestre</t>
  </si>
  <si>
    <t>8.5.3.2.4.01.01</t>
  </si>
  <si>
    <t>8.5.3.2.4.02.01</t>
  </si>
  <si>
    <t>Informação da Execução do Consórcio p/ consolidação - Exercício atual - 2º Bimestre</t>
  </si>
  <si>
    <t>8.5.3.2.4.02.02</t>
  </si>
  <si>
    <t>Contas Aplicáveis ao 1º Quadrimestre (1)</t>
  </si>
  <si>
    <t>Contas Aplicáveis ao 1º Semestre (1)</t>
  </si>
  <si>
    <t>Informação da Execução do Consórcio p/ consolidação - julho a Dez</t>
  </si>
  <si>
    <t>8.5.3.2.4.01.02</t>
  </si>
  <si>
    <t>Informação da Execução do Consórcio p/ consolidação - Exercício atual - 3º Bimestre</t>
  </si>
  <si>
    <t>8.5.3.2.4.02.03</t>
  </si>
  <si>
    <t>Informação da Execução do Consórcio p/ consolidação - Setembro a Dez</t>
  </si>
  <si>
    <t>8.5.3.2.4.01.03</t>
  </si>
  <si>
    <t>8.5.3.2.4.02.04</t>
  </si>
  <si>
    <t>Informação da Execução do Consórcio p/ consolidação - Exercício atual - 4º Bimestre</t>
  </si>
  <si>
    <t>Informação da Execução do Consórcio p/ consolidação - Exercício atual - 5º Bimestre</t>
  </si>
  <si>
    <t>8.5.3.2.4.02.05</t>
  </si>
  <si>
    <t>Informação da Execução do Consórcio p/ consolidação - Exercício atual - 6º Bimestre</t>
  </si>
  <si>
    <t>8.5.3.2.4.02.06</t>
  </si>
  <si>
    <t>VI - TOTAL DAS CONTAS CONTÁBEIS DE CPONTROLE</t>
  </si>
  <si>
    <t>Codificação:</t>
  </si>
  <si>
    <t>Cálculo das contas das naturezas de despesas de pessoal dos Itens I e II</t>
  </si>
  <si>
    <t>IV - TOTAL DAS CONTAS PATRIMONIAIS</t>
  </si>
  <si>
    <t>6º Mês</t>
  </si>
  <si>
    <t>5º Mês</t>
  </si>
  <si>
    <t>4º Mês</t>
  </si>
  <si>
    <t>3º Mês</t>
  </si>
  <si>
    <t>2º Mês</t>
  </si>
  <si>
    <t>1º Mês</t>
  </si>
  <si>
    <t>Total dos últimos</t>
  </si>
  <si>
    <t>12 meses</t>
  </si>
  <si>
    <t>VII - TOTAL DA DESPESA COM PESSOAL ATIVO / INATIVO DA ENTIDADE VII = (III + IV + V - VI)</t>
  </si>
  <si>
    <t>Detalhamento:</t>
  </si>
  <si>
    <t>3.1.9.0.11.48</t>
  </si>
  <si>
    <t>LICENCA PREMIO INDENIZADA</t>
  </si>
  <si>
    <t>3.1.9.0.94</t>
  </si>
  <si>
    <t>Aposentadoria do RPPS, Reserva Remunerada e Reformas dos Militares (com recursos do RPPS)</t>
  </si>
  <si>
    <t>Giovani Amestoy da Silva</t>
  </si>
  <si>
    <t>Ihoko Nakashima Mota</t>
  </si>
  <si>
    <t>Arlei Lopes Souza</t>
  </si>
  <si>
    <t>Prefeito Municipal</t>
  </si>
  <si>
    <t>Secret. de Município da Fazenda</t>
  </si>
  <si>
    <t>Contador - CRC/RS: 068452/O-6</t>
  </si>
  <si>
    <t>3.1.90.01</t>
  </si>
  <si>
    <t>3.1.90.03</t>
  </si>
  <si>
    <t>3.1.90.16.99.02</t>
  </si>
  <si>
    <t>3.1.90.16.99.01</t>
  </si>
  <si>
    <t>3.1.90.92</t>
  </si>
  <si>
    <t>3.5.1.3.2.01.01</t>
  </si>
  <si>
    <t>3.5.1.3.2.02.01</t>
  </si>
  <si>
    <t>3.1.00.00.00.00</t>
  </si>
  <si>
    <t>3.3.XX.34.01.00</t>
  </si>
  <si>
    <t>Aliquotas vigentes em 2021 do FAPS/RPPS</t>
  </si>
  <si>
    <t>ENTE</t>
  </si>
  <si>
    <t>SEGURADO</t>
  </si>
  <si>
    <t>Normal</t>
  </si>
  <si>
    <t>Suplementar</t>
  </si>
  <si>
    <t>Média dos Segurados</t>
  </si>
  <si>
    <t>Janeiro</t>
  </si>
  <si>
    <t>Fevereiro</t>
  </si>
  <si>
    <t>Março</t>
  </si>
  <si>
    <t>Abril</t>
  </si>
  <si>
    <t>7.9.9.0.01.1.1</t>
  </si>
  <si>
    <t>7.9.9.0.01.1.3</t>
  </si>
  <si>
    <t>(- )</t>
  </si>
  <si>
    <t>Valor do déficit para cobertura do Passivo Atuarial:</t>
  </si>
  <si>
    <t>( = )</t>
  </si>
  <si>
    <t>Rendimentos Líquidos Auferidos do Período:</t>
  </si>
  <si>
    <t>Saldo dos Valores Aplicados:</t>
  </si>
  <si>
    <t>Percentual dos Rendimentos em relação ao Saldo:</t>
  </si>
  <si>
    <t>Seq.</t>
  </si>
  <si>
    <t>ÓRGÃOS</t>
  </si>
  <si>
    <t>Dotações:</t>
  </si>
  <si>
    <t>Liquidado</t>
  </si>
  <si>
    <t>Câmara</t>
  </si>
  <si>
    <t>Gabinete</t>
  </si>
  <si>
    <t>SGM</t>
  </si>
  <si>
    <t>SMCP</t>
  </si>
  <si>
    <t>SMA</t>
  </si>
  <si>
    <t>SMF</t>
  </si>
  <si>
    <t>SMTur</t>
  </si>
  <si>
    <t>SMTSUI</t>
  </si>
  <si>
    <t>SEDUC</t>
  </si>
  <si>
    <t>SMSMA</t>
  </si>
  <si>
    <t>SMAS</t>
  </si>
  <si>
    <t>SMAIC</t>
  </si>
  <si>
    <t>Encargos</t>
  </si>
  <si>
    <t>FAPS</t>
  </si>
  <si>
    <t>FASM</t>
  </si>
  <si>
    <t>A Pagar</t>
  </si>
  <si>
    <t>Pref.</t>
  </si>
  <si>
    <t>Total:</t>
  </si>
  <si>
    <t>Data Base:</t>
  </si>
  <si>
    <t>09 SECRETARIA DE MUNIC. DA EDUCACAO</t>
  </si>
  <si>
    <t>09.01 ENSINO FUNDAMENTAL</t>
  </si>
  <si>
    <t>09.02 ENSINO INFANTIL PRE-ESCOLA</t>
  </si>
  <si>
    <t>09.03 ENSINO INFANTIL - CRECHE</t>
  </si>
  <si>
    <t>09.05 ENSINO ESPECIAL</t>
  </si>
  <si>
    <t>09.07 ENSINO JOVENS E ADULTOS - EJA</t>
  </si>
  <si>
    <t>2.021 - 367</t>
  </si>
  <si>
    <t>Atividades:</t>
  </si>
  <si>
    <t>Emp</t>
  </si>
  <si>
    <t>Líq</t>
  </si>
  <si>
    <t>Pgtos</t>
  </si>
  <si>
    <t>Saldo Dotações:</t>
  </si>
  <si>
    <t>SubTotais:01</t>
  </si>
  <si>
    <t>SubTotais: 03</t>
  </si>
  <si>
    <t>60% FUNDEB</t>
  </si>
  <si>
    <t>40% FUNDEB:</t>
  </si>
  <si>
    <t>Livre - 2.014</t>
  </si>
  <si>
    <t>SubTotais:02</t>
  </si>
  <si>
    <t>Livre - 2.248</t>
  </si>
  <si>
    <t>SubTotais: 04</t>
  </si>
  <si>
    <t>Descrição:</t>
  </si>
  <si>
    <t>Matrículas</t>
  </si>
  <si>
    <t>Proporção</t>
  </si>
  <si>
    <t>MDE e FUNDEB</t>
  </si>
  <si>
    <t>FUNDEB: Liquidada</t>
  </si>
  <si>
    <t>MDE+Livre: Liquidada</t>
  </si>
  <si>
    <t>Fundamental</t>
  </si>
  <si>
    <t>Fundeb:</t>
  </si>
  <si>
    <t>Pré</t>
  </si>
  <si>
    <t>MDE:</t>
  </si>
  <si>
    <t>Creche</t>
  </si>
  <si>
    <t>Total Geral:</t>
  </si>
  <si>
    <t>EJA</t>
  </si>
  <si>
    <t>Especial</t>
  </si>
  <si>
    <t>Fonte SIOPE</t>
  </si>
  <si>
    <t>Despesa Liquidada:</t>
  </si>
  <si>
    <t>Percentual s/ Total</t>
  </si>
  <si>
    <t>Repasses FUNDEB</t>
  </si>
  <si>
    <t>Total Liquidado do FUNDEB:</t>
  </si>
  <si>
    <t>CALCULO DOS PERCENTUAIS MÍNIMOS LEGAIS</t>
  </si>
  <si>
    <t>PERÍODO:</t>
  </si>
  <si>
    <t>Artigos 198 e 212 da CF/88 e E/C nº 29</t>
  </si>
  <si>
    <t>Análise Horizontal das Receitas em relação ao montante arrecadado no mês em uma previsão de arrecadação de um doze avos ao mês.</t>
  </si>
  <si>
    <t>Os valores na coluna "Excesso" entre parenteses significa que foi arrecado valor maior que um doze avos ao mês na Receita Realizada.</t>
  </si>
  <si>
    <t>1. NÍVEIS:</t>
  </si>
  <si>
    <t>2. RECEITAS</t>
  </si>
  <si>
    <t>3. PREVISTO</t>
  </si>
  <si>
    <t>4. Realizado:</t>
  </si>
  <si>
    <t>LIVRE: 60% Excesso/Déficit</t>
  </si>
  <si>
    <t>MDE:25%/5%  Excesso/Déficit</t>
  </si>
  <si>
    <t>FUNDEB 20% Excesso/Déficit</t>
  </si>
  <si>
    <t>ASPS: 15%</t>
  </si>
  <si>
    <t>Excesso/Déficit</t>
  </si>
  <si>
    <t>1.1.1.3.03.1</t>
  </si>
  <si>
    <t>IRRF</t>
  </si>
  <si>
    <t>1.1.1.8.01.1</t>
  </si>
  <si>
    <t>IPTU</t>
  </si>
  <si>
    <t>1.1.1.8.01.4</t>
  </si>
  <si>
    <t>ITBI</t>
  </si>
  <si>
    <t>1.1.1.8.02.3</t>
  </si>
  <si>
    <t>ISQN</t>
  </si>
  <si>
    <t>1.7.1.8.01.2</t>
  </si>
  <si>
    <t>FPM</t>
  </si>
  <si>
    <t>1.7.1.8.01.3</t>
  </si>
  <si>
    <t>1% FPM</t>
  </si>
  <si>
    <t>1.7.1.8.01.4</t>
  </si>
  <si>
    <t>1.7.1.8.01.5.1</t>
  </si>
  <si>
    <t>ITR</t>
  </si>
  <si>
    <t>1.7.1.8.06.1.1</t>
  </si>
  <si>
    <t>L.C. No 87/96</t>
  </si>
  <si>
    <t>1.7.2.8.01.1.1</t>
  </si>
  <si>
    <t>ICMS</t>
  </si>
  <si>
    <t>1.7.2.8.01.2.1</t>
  </si>
  <si>
    <t>IPVA</t>
  </si>
  <si>
    <t>1.7.2.8.01.3.1</t>
  </si>
  <si>
    <t>IPI Exp.</t>
  </si>
  <si>
    <t>1.7.5.8.01.1.1</t>
  </si>
  <si>
    <t>FUNDEB</t>
  </si>
  <si>
    <t>Percentual da Receita Realizada em relação a Prevista:</t>
  </si>
  <si>
    <t>Verificação:</t>
  </si>
  <si>
    <t>Cálculo:</t>
  </si>
  <si>
    <t>RECURSOS:</t>
  </si>
  <si>
    <t>ASPS</t>
  </si>
  <si>
    <t>LIVRE</t>
  </si>
  <si>
    <t>% da Despesa liquidada sobre a Receita realizada do FUNDEB</t>
  </si>
  <si>
    <t>Total da MDE</t>
  </si>
  <si>
    <t>DESPESA</t>
  </si>
  <si>
    <t>(-) Plus Fundeb</t>
  </si>
  <si>
    <t>MDE</t>
  </si>
  <si>
    <t>(-)Rend. da MDE</t>
  </si>
  <si>
    <t>( - ) 3.1.91.13.20</t>
  </si>
  <si>
    <t>EMPENHADO</t>
  </si>
  <si>
    <t>(-)Rend. do FUNDEB</t>
  </si>
  <si>
    <t>( - ) 3.3.91.08</t>
  </si>
  <si>
    <t>LIQUIDADO</t>
  </si>
  <si>
    <t>( - ) Rendimento</t>
  </si>
  <si>
    <t>PAGO</t>
  </si>
  <si>
    <t>Valor a aplicado</t>
  </si>
  <si>
    <t>( = ) TOTAIS:</t>
  </si>
  <si>
    <t>% Emp.</t>
  </si>
  <si>
    <t>% da Educação</t>
  </si>
  <si>
    <t>índice Apurado:</t>
  </si>
  <si>
    <t>% Liq. + Rep</t>
  </si>
  <si>
    <t>APLICAÇÃO:</t>
  </si>
  <si>
    <t>%pago</t>
  </si>
  <si>
    <t>TOTAIS</t>
  </si>
  <si>
    <t>a Liquidar</t>
  </si>
  <si>
    <t>a Pagar</t>
  </si>
  <si>
    <t>RENDIM.:</t>
  </si>
  <si>
    <t>( - ) Plus do FUNDEB</t>
  </si>
  <si>
    <t>Índice Apurado:</t>
  </si>
  <si>
    <t>ANEXO II DO CRONOGRAMA DE DESEMBOLSO PARA 2021</t>
  </si>
  <si>
    <t>ANEXO III - CRONOGRAMA DE REEMBOLSO E DESEMBOLSO AO MÊS PARA 2021</t>
  </si>
  <si>
    <t>CRONOGRAMA DE DESEMBOLSO POR ORGÃO PARA O EXERCÍCIO DE 2021</t>
  </si>
  <si>
    <t>Cronograma</t>
  </si>
  <si>
    <t>RECEITA CONSOLIDADA REALIZADA</t>
  </si>
  <si>
    <t>PREVISTO</t>
  </si>
  <si>
    <t>REESTIMADA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</si>
  <si>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</si>
  <si>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</si>
  <si>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</si>
  <si>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</si>
  <si>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</si>
  <si>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</si>
  <si>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</si>
  <si>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</si>
  <si>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</si>
  <si>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</si>
  <si>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</si>
  <si>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</si>
  <si>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</si>
  <si>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t>MESES</t>
  </si>
  <si>
    <t>%</t>
  </si>
  <si>
    <t>Maio</t>
  </si>
  <si>
    <t>Junho</t>
  </si>
  <si>
    <t>Julho</t>
  </si>
  <si>
    <t>Agosto</t>
  </si>
  <si>
    <t>Setembro</t>
  </si>
  <si>
    <t>SMS</t>
  </si>
  <si>
    <t>Outubro</t>
  </si>
  <si>
    <t>Novembro</t>
  </si>
  <si>
    <t>Dezembro</t>
  </si>
  <si>
    <t>Reserva</t>
  </si>
  <si>
    <t>% em relação ao ano anterior</t>
  </si>
  <si>
    <t>DESPESA CONSOLIDA LIQUIDADA</t>
  </si>
  <si>
    <t>=</t>
  </si>
  <si>
    <t>% ao mês</t>
  </si>
  <si>
    <t>Total por Bimestre</t>
  </si>
  <si>
    <t>1º Bimestre</t>
  </si>
  <si>
    <t>2º Bimestre</t>
  </si>
  <si>
    <t>3º Bimestre</t>
  </si>
  <si>
    <t>4º Bimestre</t>
  </si>
  <si>
    <t>5º Bimestre</t>
  </si>
  <si>
    <t>6º Bimestre</t>
  </si>
  <si>
    <t>Superávit</t>
  </si>
  <si>
    <t>A Vertic</t>
  </si>
  <si>
    <t>RECEITA/2021</t>
  </si>
  <si>
    <t>DIFERENÇA</t>
  </si>
  <si>
    <t>DESPESA/2021</t>
  </si>
  <si>
    <t>SUPERÁVIT/DÉFICIT</t>
  </si>
  <si>
    <t>REALIZADA</t>
  </si>
  <si>
    <t>RECEITA</t>
  </si>
  <si>
    <t>EXECUTADA</t>
  </si>
  <si>
    <t>AO MÊS</t>
  </si>
  <si>
    <t>CRONOGRAMA DA DESPESA POR CATEGORIA</t>
  </si>
  <si>
    <t>EXERCÍCIO DE 2021</t>
  </si>
  <si>
    <t>3.</t>
  </si>
  <si>
    <t>DESPESA CORRENTE</t>
  </si>
  <si>
    <t>3.1.</t>
  </si>
  <si>
    <t>Vencimento e Encargos</t>
  </si>
  <si>
    <t>3.2.</t>
  </si>
  <si>
    <t>Juros e Encargo Dív.</t>
  </si>
  <si>
    <t>3.3.</t>
  </si>
  <si>
    <t>Outras Desp. Corrente</t>
  </si>
  <si>
    <t>4.</t>
  </si>
  <si>
    <t>DESPESA DE CAPITAL</t>
  </si>
  <si>
    <t>4.4.</t>
  </si>
  <si>
    <t>Investimentos</t>
  </si>
  <si>
    <t>4.5.</t>
  </si>
  <si>
    <t>Inversões Financeira</t>
  </si>
  <si>
    <t>4.6.</t>
  </si>
  <si>
    <t>Amortização da Dívida</t>
  </si>
  <si>
    <t>TOTAL DA DESPESA FIXADA</t>
  </si>
  <si>
    <t>9.9.</t>
  </si>
  <si>
    <t>Reserva de Contigência</t>
  </si>
  <si>
    <t>TOTAL GERAL PREVISTO</t>
  </si>
  <si>
    <t>+/-</t>
  </si>
  <si>
    <t>SOBRE A DESPESA LIQUIDADA.</t>
  </si>
  <si>
    <t>Restos a Pagar Processados de Exercícios Anteriores Pagos:</t>
  </si>
  <si>
    <t>a Pagar:</t>
  </si>
  <si>
    <t>Restos a Pagar Não Processados de Exercícios Anteriores Pagos:</t>
  </si>
  <si>
    <t>Totais:</t>
  </si>
  <si>
    <t>Total da Despesa Liquidada:</t>
  </si>
  <si>
    <r>
      <t>Nota:</t>
    </r>
    <r>
      <rPr>
        <sz val="6"/>
        <rFont val="Arial"/>
        <family val="2"/>
      </rPr>
      <t xml:space="preserve"> + Despesa não Liquidada:</t>
    </r>
  </si>
  <si>
    <t>Total da DespesaEmpenhada:</t>
  </si>
  <si>
    <t>EVOLUÇÃO DOS SALDOS DOS RESTOS A PAGAR DO PERÍODO:</t>
  </si>
  <si>
    <t>Ano: 2020</t>
  </si>
  <si>
    <t xml:space="preserve"> Janeiro</t>
  </si>
  <si>
    <t>Ano</t>
  </si>
  <si>
    <t>% da DC s/ RC:</t>
  </si>
  <si>
    <t>SECRETARIA MUNICIPAL DA SAÚDE E MEIO AMBIENTE - SMSMA</t>
  </si>
  <si>
    <t>COMPARATIVO DA DESPESA PREVISTA CONSOLIDADA COM A DESPESA PREVISTA PARA A SAÚDE</t>
  </si>
  <si>
    <t>PREVISTO:</t>
  </si>
  <si>
    <t>I</t>
  </si>
  <si>
    <t>% s/ Consolidado</t>
  </si>
  <si>
    <t>Bal. Orçamentário</t>
  </si>
  <si>
    <t>Créditos Orçam.</t>
  </si>
  <si>
    <t>Disponib. Dotaç.</t>
  </si>
  <si>
    <t>Empenhado</t>
  </si>
  <si>
    <t>A Liquidar</t>
  </si>
  <si>
    <t>Pago</t>
  </si>
  <si>
    <t>Pgtos a EFetuar</t>
  </si>
  <si>
    <t>Balcte Orçam.:</t>
  </si>
  <si>
    <t>Valores:</t>
  </si>
  <si>
    <t>COMPARATIVO DA DESPESA REALIZADA CONSOLIDADA COM A DESPESA REALIZADA NA SAÚDE</t>
  </si>
  <si>
    <t>REALIZADO</t>
  </si>
  <si>
    <t>II</t>
  </si>
  <si>
    <t>Pagos:</t>
  </si>
  <si>
    <t>Não Process.:</t>
  </si>
  <si>
    <t>% s/ o Total</t>
  </si>
  <si>
    <t>DESPESA REALIZADO POR BIMESTRE NA SAÚDE  EM 2.021</t>
  </si>
  <si>
    <t>COMPARATIVO DA DESPESA PREVISTA COM A REALIZADA MÊS NO EXERCÍCIO DE 2.020</t>
  </si>
  <si>
    <t>DIFERENÇA:</t>
  </si>
  <si>
    <t>SECRETARIA MUNICIPAL DA EDUCAÇÃO - SEDUC</t>
  </si>
  <si>
    <t>COMPARATIVO DA DESPESA PREVISTA CONSOLIDADA COM A DESPESA PREVISTA PARA A EDUCAÇÃO NO PERÍODO: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</si>
  <si>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</si>
  <si>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</si>
  <si>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</si>
  <si>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</si>
  <si>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</si>
  <si>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</si>
  <si>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</si>
  <si>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</si>
  <si>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</si>
  <si>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</si>
  <si>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</si>
  <si>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</si>
  <si>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TOTAL:</t>
  </si>
  <si>
    <t>COMPARATIVO DA DESPESA REALIZADA CONSOLIDADA COM A DESPESA REALIZADA NA EDUCAÇÃO</t>
  </si>
  <si>
    <t>% ao mês s/ Total realiz.</t>
  </si>
  <si>
    <t>DESPESA REALIZADO POR BIMESTRE NA EDUCAÇÃO EM 2.021</t>
  </si>
  <si>
    <t>TOTAL DO PERIÓDO</t>
  </si>
  <si>
    <t>PREFEITURA MUNICIPAL DE CAÇAPAVA DO SUL/RS.</t>
  </si>
  <si>
    <t>CNPJ:</t>
  </si>
  <si>
    <t>88142302/0001-45</t>
  </si>
  <si>
    <t>Endereço: RUA XV DE NOVEMBRO, Nº 438 / CENTRO / CAÇAPAVA DO SUL / RS / CEP: 96.570-000</t>
  </si>
  <si>
    <t>CONTROLE DO DÉFICIT ORÇAMENTÁRIO</t>
  </si>
  <si>
    <r>
      <t xml:space="preserve">INSTRUMENTO DE CONTROLE: </t>
    </r>
    <r>
      <rPr>
        <b/>
        <sz val="10"/>
        <rFont val="Arial"/>
        <family val="2"/>
      </rPr>
      <t>TERMÔMETRO DE CRUZ</t>
    </r>
  </si>
  <si>
    <t>PREVISTA</t>
  </si>
  <si>
    <t>ATUALIZADA</t>
  </si>
  <si>
    <t>EXERCICIO DE 2021</t>
  </si>
  <si>
    <t>DESPESAS CONSOLIDADAS</t>
  </si>
  <si>
    <t>Cota Mensal</t>
  </si>
  <si>
    <t>Valor Líquidado</t>
  </si>
  <si>
    <t>Receita</t>
  </si>
  <si>
    <t>Orçado para</t>
  </si>
  <si>
    <t>Déficit ou</t>
  </si>
  <si>
    <t>Estouro ou</t>
  </si>
  <si>
    <t>%   s/</t>
  </si>
  <si>
    <t>Órgãos de Governo</t>
  </si>
  <si>
    <t>Acumulada</t>
  </si>
  <si>
    <t>Até o mês</t>
  </si>
  <si>
    <t>até o Mês</t>
  </si>
  <si>
    <t>o Exercício</t>
  </si>
  <si>
    <t>Economia</t>
  </si>
  <si>
    <t>Total de C</t>
  </si>
  <si>
    <t>Nº</t>
  </si>
  <si>
    <t>[A]</t>
  </si>
  <si>
    <t>[B]</t>
  </si>
  <si>
    <t>[C]</t>
  </si>
  <si>
    <t>[D]</t>
  </si>
  <si>
    <t>[E]</t>
  </si>
  <si>
    <r>
      <t xml:space="preserve">[F] </t>
    </r>
    <r>
      <rPr>
        <b/>
        <sz val="8"/>
        <rFont val="Arial"/>
        <family val="2"/>
      </rPr>
      <t>B - C</t>
    </r>
  </si>
  <si>
    <r>
      <t xml:space="preserve">[G]  </t>
    </r>
    <r>
      <rPr>
        <b/>
        <sz val="8"/>
        <rFont val="Arial"/>
        <family val="2"/>
      </rPr>
      <t>F / B</t>
    </r>
  </si>
  <si>
    <t>[H]</t>
  </si>
  <si>
    <t>Câmara Municipal</t>
  </si>
  <si>
    <t>Gabinete do Prefeito</t>
  </si>
  <si>
    <t>Secretaria Geral do Município</t>
  </si>
  <si>
    <t>Secretaria da Planejamento  e Meio Ambiente</t>
  </si>
  <si>
    <t>Secretaria de Municipio da Administração</t>
  </si>
  <si>
    <t>Secretaria da Fazenda</t>
  </si>
  <si>
    <t>Secretaria de Municipio da Cultura e do Turismo</t>
  </si>
  <si>
    <t>Secretaria de Transporte, Serviços Urbanos e Interior</t>
  </si>
  <si>
    <t>Secretaria da Educação</t>
  </si>
  <si>
    <t>Secretaria de Municipio da Saúde</t>
  </si>
  <si>
    <t>Secretaria de Município da Ação Social</t>
  </si>
  <si>
    <t>Secretaria de Munic. da Agropecuária Industria e Comércio</t>
  </si>
  <si>
    <t>Encargos Gerais do Município</t>
  </si>
  <si>
    <t>Reserva de Contigências</t>
  </si>
  <si>
    <t>Regime Próprio de Previdência</t>
  </si>
  <si>
    <t>Fundo de assistência a Saúde do Servidor Municipal</t>
  </si>
  <si>
    <t>Total</t>
  </si>
  <si>
    <t>FONTES:</t>
  </si>
  <si>
    <t>Demonstrativos da Despesas Fixada e Liquidada por Órgão e Receita Efetivamente Realizada.</t>
  </si>
  <si>
    <t>NOTAS:   1 -</t>
  </si>
  <si>
    <t xml:space="preserve">Na coluna: "% s/ Total de C " consta o percentual que cada Órgão representa em relação ao total da Despesa Liquidada, conforme se verifica nos Órgãos de nº 9 que lida </t>
  </si>
  <si>
    <t>2 -</t>
  </si>
  <si>
    <t>O valor constante na coluna: "Cota Mensal Acumulada" foi apurado em conformidade com o Decreto de Desembolso Financeiro e Orçamentário, publicado em janeiro</t>
  </si>
  <si>
    <t>do corrente ano, que regula os quantitativos referentes ao Cronograma das saídas de acordo com as entradas(Pagamentos igual ou menor que os Recebimentos).</t>
  </si>
  <si>
    <t>3 -</t>
  </si>
  <si>
    <t>SOBRE A DESPESA LIQUIDADA CONSOLIDADA.</t>
  </si>
  <si>
    <t>4 -</t>
  </si>
  <si>
    <t>5 -</t>
  </si>
  <si>
    <t>OBSERVAÇÕES:</t>
  </si>
  <si>
    <t>1ª - Os Órgãos que apresentam Déficit Orçamentário estão abaixo do ponto zero na representação gráfica com a coluna invertida para baixo.</t>
  </si>
  <si>
    <t>2ª - Os Órgãos que apresentam Superávit Orçamentário e, consequentemente,estão situados acima do ponto zero na representação gráfica, coluna para cima.</t>
  </si>
  <si>
    <t>3ª - O déficit é provocado pelo despêndio maior que o previsto para o periodo no Orçamento e Regumentado no Decreto Executivo  nº 3037, de 15 Fevereiro de 2013.</t>
  </si>
  <si>
    <t>09º mês</t>
  </si>
  <si>
    <t>08º Mês</t>
  </si>
  <si>
    <t>07º mês</t>
  </si>
  <si>
    <t>06º Mês</t>
  </si>
  <si>
    <t>05º Mês</t>
  </si>
  <si>
    <t>04º Mês</t>
  </si>
  <si>
    <t>03º Mês</t>
  </si>
  <si>
    <t>02º Mês</t>
  </si>
  <si>
    <t>01º Mês</t>
  </si>
  <si>
    <t>1.3.2.1.00.1.1.01.10</t>
  </si>
  <si>
    <t>1.3.2.1.00.1.X.01.10.00</t>
  </si>
  <si>
    <t>1.9.9.0.03.1.1.00.00.00</t>
  </si>
  <si>
    <t>1.3.2.1.00.1.X.01.09</t>
  </si>
  <si>
    <t>Contribuição para o RPPS do Servidor Público</t>
  </si>
  <si>
    <t>1.2.1.8.01</t>
  </si>
  <si>
    <t>Contribuição Social para o Financiamento da Seguridade Social</t>
  </si>
  <si>
    <t>1.2.1.9.99.1.1.03 e .04</t>
  </si>
  <si>
    <t xml:space="preserve">Evolução Mensal da Despesa Liquidada com Pessoal </t>
  </si>
  <si>
    <t>TOTAIS DOS ÚLTIMOS 12 MESES</t>
  </si>
  <si>
    <t>Despesa Liquida c/ Pessoal</t>
  </si>
  <si>
    <t>Receita Corrente Líquida</t>
  </si>
  <si>
    <t>Índice da DCLP s/ a RCL</t>
  </si>
  <si>
    <t>Limite Máximo do Índice</t>
  </si>
  <si>
    <t>Fonte:</t>
  </si>
  <si>
    <t>3.1.9.0.08</t>
  </si>
  <si>
    <t>3.1.9.0.11.07</t>
  </si>
  <si>
    <t>Abono de Permanência</t>
  </si>
  <si>
    <t>3.1.9.0.91.36</t>
  </si>
  <si>
    <t>PRECATORIOS - PENSIONISTA CIVIL</t>
  </si>
  <si>
    <t>3.1.91.13.10.02</t>
  </si>
  <si>
    <t>Contribuições Patronais para o RPPS - Pensionista = 3.1.9.1.13.03.03</t>
  </si>
  <si>
    <t>3.3.91.08.11.01</t>
  </si>
  <si>
    <t>3.1.91.13.20</t>
  </si>
  <si>
    <t>Amortização do Passivo Atuarial com RPPS - Alíquota Suplementar (20.00; 21.01 e 20.02)</t>
  </si>
  <si>
    <t>Ativos/Inativos Poder Executivo/Indiretas</t>
  </si>
  <si>
    <t>Ativos/Inativos Poder Legislativo</t>
  </si>
  <si>
    <t>1.1.1.3.03.1.1.01</t>
  </si>
  <si>
    <t>1.1.1.3.03.1.1.02</t>
  </si>
  <si>
    <t>3.3.90.08 = Outros Benefícios Previdenciários do Servidor</t>
  </si>
  <si>
    <t>08.11.02+08.11.03 Plano de Seguridade Social do Servidor - Pessoal Ativo 3.1.9.1.13.08 = AUXILIO-SAUDE</t>
  </si>
  <si>
    <t>3.1.90.05.00.02</t>
  </si>
  <si>
    <t>OUTROS BENEFICIOS PREVIDENCIARIOS - PESSOAL INATIVO</t>
  </si>
  <si>
    <t>EXECUÇÃO DOS CONSÓRCIOS PÚBLICOS</t>
  </si>
  <si>
    <t>Página: 1/2</t>
  </si>
  <si>
    <t>Página: 2/2</t>
  </si>
  <si>
    <t>9000 - Prefeitura e Fundos:</t>
  </si>
  <si>
    <t>1.Receita Realizada:</t>
  </si>
  <si>
    <t>70,00% para as aplicaçoes mínimas no FUNDEB</t>
  </si>
  <si>
    <t>Mínimo Anual de 70% do FUNDEB na Remuneração do Magistério</t>
  </si>
  <si>
    <t>INSTRUÇÃO NORMATIVA nº 4/2021 - TCE/RS.</t>
  </si>
  <si>
    <t>Ano: 2021</t>
  </si>
  <si>
    <t>Progressão do Déficit no período</t>
  </si>
  <si>
    <t>MDE: 0020</t>
  </si>
  <si>
    <t>Ens.Especial2021</t>
  </si>
  <si>
    <t>Ens.Especial2120</t>
  </si>
  <si>
    <t>Instrução Normativa TCE/RS nº 18/2020 - índices da Saúde e do Ensino.</t>
  </si>
  <si>
    <t>Estado do Rio Grande do Sul - Prefeitura Municipal de Cacapava do Sul</t>
  </si>
  <si>
    <t xml:space="preserve">Unidade Gestora: </t>
  </si>
  <si>
    <t>CONSOLIDADO</t>
  </si>
  <si>
    <t>Saldo Inicial Vinc. em C/C Bancária</t>
  </si>
  <si>
    <t>Receita Realizada no Exercício</t>
  </si>
  <si>
    <t>Transferências Recebidas</t>
  </si>
  <si>
    <t>Total do Recurso Vinculado</t>
  </si>
  <si>
    <t>Liquidações Orçam. Efetuados</t>
  </si>
  <si>
    <t>Liquidações de Restos Efetuadas</t>
  </si>
  <si>
    <t>Total das Liquidações</t>
  </si>
  <si>
    <t>Transferências Devolvidas</t>
  </si>
  <si>
    <t>Saldo P/Utilização Recurso Vinculado</t>
  </si>
  <si>
    <t>Fonte de Recursos</t>
  </si>
  <si>
    <t>Recurso Livre - Administração Direta Municipal</t>
  </si>
  <si>
    <t>4.682.245,45</t>
  </si>
  <si>
    <t>MDE - Manutenção e Desenvolvimento Ensino</t>
  </si>
  <si>
    <t>21.322,44</t>
  </si>
  <si>
    <t>0,00</t>
  </si>
  <si>
    <t>FUNDEB (a partir de 01/01/2007 - Instituído pela EC n° 53/2006)</t>
  </si>
  <si>
    <t>467.418,85</t>
  </si>
  <si>
    <t>ASPS - Ações de Serviços Públicos de Saúde</t>
  </si>
  <si>
    <t>117.931,20</t>
  </si>
  <si>
    <t>RPPS (instituído como FUNDO dentro da Administração Direta)</t>
  </si>
  <si>
    <t>33.035.663,09</t>
  </si>
  <si>
    <t>COVID-19</t>
  </si>
  <si>
    <t>4,50</t>
  </si>
  <si>
    <t>PROGRAMA NACIONAL DE ALIMENTACAO ESCOLAR PNAE/FNDE.</t>
  </si>
  <si>
    <t>232.186,33</t>
  </si>
  <si>
    <t>SALARIO EDUCACAO</t>
  </si>
  <si>
    <t>516.318,48</t>
  </si>
  <si>
    <t>6.200,55</t>
  </si>
  <si>
    <t>TRANSPORTE ESCOLAR</t>
  </si>
  <si>
    <t>228.138,49</t>
  </si>
  <si>
    <t>CONVENIO UNIAO FUNDACAO NACIONAL DE DESENVOLVIMENTO DA EDUCACAO - FNDE</t>
  </si>
  <si>
    <t>1.350.359,29</t>
  </si>
  <si>
    <t>Recursos do PEATE/RS</t>
  </si>
  <si>
    <t>378.419,89</t>
  </si>
  <si>
    <t>RECURSOS CREDITO EDUCATIVO FUNCRED</t>
  </si>
  <si>
    <t>13.638,11</t>
  </si>
  <si>
    <t>CEF-DESENVOLVIMENTO DA AGROPECUÁRIA</t>
  </si>
  <si>
    <t>1.145,32</t>
  </si>
  <si>
    <t>SERVIÇOS AGROPECUARIOS</t>
  </si>
  <si>
    <t>1.377,23</t>
  </si>
  <si>
    <t>APOIO E DESENVOLVIMENTO DA AGRICULTURA FAMILIAR</t>
  </si>
  <si>
    <t>58.626,35</t>
  </si>
  <si>
    <t>CONVÊNIO-UNIÃO C/ FUNDO DE ASSISTÊNCIA SOCIAL</t>
  </si>
  <si>
    <t>677.697,48</t>
  </si>
  <si>
    <t>CONVÊNIO-ESTADO C/ FUNDO DE ASSISTÊNCIA SOCIAL</t>
  </si>
  <si>
    <t>41.300,11</t>
  </si>
  <si>
    <t>Programa Habitacional Minha Casa do ERGSul.</t>
  </si>
  <si>
    <t>104.353,76</t>
  </si>
  <si>
    <t>Fundo Municipal da Criança e do Adolescente</t>
  </si>
  <si>
    <t>151.781,09</t>
  </si>
  <si>
    <t>Programa Habitar Brasil</t>
  </si>
  <si>
    <t>19,98</t>
  </si>
  <si>
    <t>RECURSOS DA INFRA-ESTRUTURA</t>
  </si>
  <si>
    <t>161,04</t>
  </si>
  <si>
    <t>COTA-PARTE DA MULTA DE TRANSITO</t>
  </si>
  <si>
    <t>71.752,12</t>
  </si>
  <si>
    <t>2.057,18</t>
  </si>
  <si>
    <t>77.244,06</t>
  </si>
  <si>
    <t>79.301,24</t>
  </si>
  <si>
    <t>Recursos destinados a açoes valtadas ao meio ambiente e a infra infraestrutura.</t>
  </si>
  <si>
    <t>282.488,18</t>
  </si>
  <si>
    <t>35.154,64</t>
  </si>
  <si>
    <t>Construção, Ampliação, Moderniação e Reforma de Modulos Esportivos</t>
  </si>
  <si>
    <t>191.950,46</t>
  </si>
  <si>
    <t>Estacionamento Rotativo</t>
  </si>
  <si>
    <t>0,59</t>
  </si>
  <si>
    <t>FUNREBOM</t>
  </si>
  <si>
    <t>128.285,26</t>
  </si>
  <si>
    <t>CONVENIO COM O ESTADO PARA INFRA-ESTRUTU</t>
  </si>
  <si>
    <t>12.203,37</t>
  </si>
  <si>
    <t>14.662,00</t>
  </si>
  <si>
    <t>1.950.753,30</t>
  </si>
  <si>
    <t>Exec. de Ações de prev. e preparação p/ emergências e desastres</t>
  </si>
  <si>
    <t>42.376,47</t>
  </si>
  <si>
    <t>Obras /plano Estadual de Enfrentamento de Desastres Amientais</t>
  </si>
  <si>
    <t>9.141,61</t>
  </si>
  <si>
    <t>Recursos do Estado para Infra-Estrutura</t>
  </si>
  <si>
    <t>331.552,33</t>
  </si>
  <si>
    <t>Pavimentação Ruas Ijuí, Dagoberto e Retaxerxes</t>
  </si>
  <si>
    <t>128.134,73</t>
  </si>
  <si>
    <t>Aquisição de veículos, máquinas e equipamentos.</t>
  </si>
  <si>
    <t>42,48</t>
  </si>
  <si>
    <t>Pavimentação Rua Silva Jardim</t>
  </si>
  <si>
    <t>10.483,93</t>
  </si>
  <si>
    <t>Passeio público e ciclovia</t>
  </si>
  <si>
    <t>4.567,79</t>
  </si>
  <si>
    <t>0,85</t>
  </si>
  <si>
    <t>4.568,64</t>
  </si>
  <si>
    <t>Ações de recuperação de emergência - Recuperação de pontes</t>
  </si>
  <si>
    <t>8.158,55</t>
  </si>
  <si>
    <t>32,01</t>
  </si>
  <si>
    <t>8.190,56</t>
  </si>
  <si>
    <t>8.201,01</t>
  </si>
  <si>
    <t>-10,45</t>
  </si>
  <si>
    <t>Pavimentação da Rua do Aterro</t>
  </si>
  <si>
    <t>43.744,11</t>
  </si>
  <si>
    <t>38.687,22</t>
  </si>
  <si>
    <t>Pavimentação da Rua Xiru Meireles</t>
  </si>
  <si>
    <t>44.752,93</t>
  </si>
  <si>
    <t>11.781,54</t>
  </si>
  <si>
    <t>Pav. Rua Tiradentes</t>
  </si>
  <si>
    <t>32,10</t>
  </si>
  <si>
    <t>Recuperação e Manutenção de Estradas Vicinais</t>
  </si>
  <si>
    <t>GESTÃO DO SUS</t>
  </si>
  <si>
    <t>8,92</t>
  </si>
  <si>
    <t>Outras receitas municipais aplicadas em Saúde</t>
  </si>
  <si>
    <t>324.703,93</t>
  </si>
  <si>
    <t>Atenção Básica - PIES / Núcleo de Apoio à Atenção Básica - NAAB / Oficinas Terapêuticas / Redução de Danos / Rede Cegonha - exames pré-natais / Tele D</t>
  </si>
  <si>
    <t>8.937,98</t>
  </si>
  <si>
    <t>INVERNO GAUCHO</t>
  </si>
  <si>
    <t>12,44</t>
  </si>
  <si>
    <t>Farmácia Básica / Plantas Medicinais e Fitoterápicos / Diabetes Mellitus / Fraldas e outros insumos</t>
  </si>
  <si>
    <t>116.737,74</t>
  </si>
  <si>
    <t>Recursos para Medicamentos de Mellitus</t>
  </si>
  <si>
    <t>496,55</t>
  </si>
  <si>
    <t>PACS</t>
  </si>
  <si>
    <t>49,53</t>
  </si>
  <si>
    <t>PSF / NASF / ESF Quilombola / ESF Indígena / Saúde Bucal / Saúde Bucal Indígena / PACS / ESF Prisional / Residência Médica / Combate ao Racismo Instit</t>
  </si>
  <si>
    <t>44.713,15</t>
  </si>
  <si>
    <t>PIM - Primeira Infância Melhor</t>
  </si>
  <si>
    <t>42.137,29</t>
  </si>
  <si>
    <t>SAMU / UPA - Urgências - Remoção PAC</t>
  </si>
  <si>
    <t>167,75</t>
  </si>
  <si>
    <t>Vigilância em Saúde / Laboratório de Entomologia / Dengue / Desastres Ambientais</t>
  </si>
  <si>
    <t>3.830,35</t>
  </si>
  <si>
    <t>CAPS - Centro de Atenção Psicossocial</t>
  </si>
  <si>
    <t>4.119,97</t>
  </si>
  <si>
    <t>REGIONALIZAÇÃO - aquisição de ambulância</t>
  </si>
  <si>
    <t>69,73</t>
  </si>
  <si>
    <t>CUCA LEGAL (CAPS)</t>
  </si>
  <si>
    <t>493,04</t>
  </si>
  <si>
    <t>SANEAMENTO BÁSICO</t>
  </si>
  <si>
    <t>33,24</t>
  </si>
  <si>
    <t>Aquisição de Veículos</t>
  </si>
  <si>
    <t>350,10</t>
  </si>
  <si>
    <t>Aquisição de Equipamentos e Material Permanente</t>
  </si>
  <si>
    <t>2.361,23</t>
  </si>
  <si>
    <t>Construções ou Ampliações</t>
  </si>
  <si>
    <t>7.094,50</t>
  </si>
  <si>
    <t>Reformas</t>
  </si>
  <si>
    <t>128.066,89</t>
  </si>
  <si>
    <t>CUSTEIO - Atenção Básica</t>
  </si>
  <si>
    <t>1.056.175,18</t>
  </si>
  <si>
    <t>CUSTEIO - Atenção de média e alta complexidade ambulatorial e hospitalar</t>
  </si>
  <si>
    <t>43.996,69</t>
  </si>
  <si>
    <t>CUSTEIO - Vigilância em Saúde</t>
  </si>
  <si>
    <t>123.504,85</t>
  </si>
  <si>
    <t xml:space="preserve">CUSTEIO - Assistência Farmacêutica </t>
  </si>
  <si>
    <t>111.690,86</t>
  </si>
  <si>
    <t>CUSTEIO - Gestão do SUS</t>
  </si>
  <si>
    <t>49.532,13</t>
  </si>
  <si>
    <t>INVESTIMENTO - Atenção Básica</t>
  </si>
  <si>
    <t>738.533,21</t>
  </si>
  <si>
    <t>INVESTIMENTO - Atenção Especializada</t>
  </si>
  <si>
    <t>13.841,54</t>
  </si>
  <si>
    <t>INVESTIMENTO - Vigilância em Saúde</t>
  </si>
  <si>
    <t>304,55</t>
  </si>
  <si>
    <t>INVESTIMENTO - Gestão do SUS</t>
  </si>
  <si>
    <t>89.898,28</t>
  </si>
  <si>
    <t>CUSTEIO - Outros programas financiados por transferências fundo a fundo</t>
  </si>
  <si>
    <t>1.224.328,57</t>
  </si>
  <si>
    <t>2.000,00</t>
  </si>
  <si>
    <t>INVESTIMENTO - Outras transferências</t>
  </si>
  <si>
    <t>17.375,00</t>
  </si>
  <si>
    <t>Recurso Federal - CAPS</t>
  </si>
  <si>
    <t>134,34</t>
  </si>
  <si>
    <t>Recursos Extraorçamentários</t>
  </si>
  <si>
    <t>1.087.925,73</t>
  </si>
  <si>
    <t>RECURSO-EXTRAORÇAMENTÁRIO - TRANSPORTE ESCOLAR</t>
  </si>
  <si>
    <t>390,63</t>
  </si>
  <si>
    <t>RECURSO EXTRAORÇAMENTÁRIO DO RPPS</t>
  </si>
  <si>
    <t>671.158,65</t>
  </si>
  <si>
    <t>51.253.703,33</t>
  </si>
  <si>
    <t>3.677,69</t>
  </si>
  <si>
    <t>49.278,40</t>
  </si>
  <si>
    <t>11.009,20</t>
  </si>
  <si>
    <t>31.046,85</t>
  </si>
  <si>
    <t>Pagamentos Orçam. Efetuados</t>
  </si>
  <si>
    <t>Pagamentos de Restos Efetuados</t>
  </si>
  <si>
    <t>Total dos Pagamentos</t>
  </si>
  <si>
    <t>249.391,86</t>
  </si>
  <si>
    <t>654,00</t>
  </si>
  <si>
    <t>65.062,83</t>
  </si>
  <si>
    <t>69,10</t>
  </si>
  <si>
    <t>28.661,56</t>
  </si>
  <si>
    <t>1.785,40</t>
  </si>
  <si>
    <t>78.624,06</t>
  </si>
  <si>
    <t>2.363,16</t>
  </si>
  <si>
    <t>18.339,69</t>
  </si>
  <si>
    <t>50.220,00</t>
  </si>
  <si>
    <t>3.435,16</t>
  </si>
  <si>
    <t>53.583,02</t>
  </si>
  <si>
    <t>19.945,08</t>
  </si>
  <si>
    <t>382,00</t>
  </si>
  <si>
    <t>Empenhos de restos a Pagar</t>
  </si>
  <si>
    <r>
      <t xml:space="preserve">Outras Receitas Receitas Diretamente Arrecadadas pelo RPPS </t>
    </r>
    <r>
      <rPr>
        <sz val="6"/>
        <color theme="1"/>
        <rFont val="Calibri"/>
        <family val="2"/>
        <scheme val="minor"/>
      </rPr>
      <t>(1.2.1.8.03.1.1) 326</t>
    </r>
  </si>
  <si>
    <t>1. Dotações:</t>
  </si>
  <si>
    <t>VII - RECEITA CORRENTE LÍQUIDA Endividamento) (VIII = V - VI)</t>
  </si>
  <si>
    <t>30,00% para as aplicaçoes maximas no FUNDEB</t>
  </si>
  <si>
    <t>Contas Aplicáveis ao 2º Quadrimestre (1)</t>
  </si>
  <si>
    <t>Contas Aplicáveis ao 3º Quadrimestre e ao 2º Semestre (1)</t>
  </si>
  <si>
    <t>¹ 5.3.0.0 - INSCRIÇÃO DE RESTOS A PAGAR</t>
  </si>
  <si>
    <t>³ 6.3.2.2 - RP PROCESSADOS PAGOS</t>
  </si>
  <si>
    <t>² 6.3.2.1 - RP PROCESSADOS A PAGAR</t>
  </si>
  <si>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6.3.2.9. - RP PROCESSADOS CANCELADOS</t>
    </r>
  </si>
  <si>
    <t>6.3.1.9 - RP NÃO PROCESSADOS CANCELADOS</t>
  </si>
  <si>
    <t xml:space="preserve"> 6.3.1.4 - RP NÃO PROCESSADOS PAGOS</t>
  </si>
  <si>
    <t>Dedução a Menor para o FUNDEB no ICMS em R$ 19.373,85</t>
  </si>
  <si>
    <t>70.111,19</t>
  </si>
  <si>
    <t>81.892,73</t>
  </si>
  <si>
    <t>616,00</t>
  </si>
  <si>
    <t>Metodologia de Cálculo realizado, conforme Ofício Circ DCF Nº 33/2021 do TCE/RS.</t>
  </si>
  <si>
    <t>Receitas Diretamente Arrecadadas pelo Fundo de Assistência à Saúde dos Servidores (343)</t>
  </si>
  <si>
    <t xml:space="preserve"> Amortiz Deficit Atuarial</t>
  </si>
  <si>
    <t>Aportes Periodicos</t>
  </si>
  <si>
    <t>Deficit Atuarial - Div Ativa</t>
  </si>
  <si>
    <t>1. Receitas Totais</t>
  </si>
  <si>
    <t>2. Total da Despesa Paga</t>
  </si>
  <si>
    <t>3. Resultado: 1. - 2. =</t>
  </si>
  <si>
    <t>L. M. Nº 4.244  de 22/07/2021 - Art. 4º - Aliquota do Passivo Atuarial.</t>
  </si>
  <si>
    <t>L. M. Nº 4167  de 04/08/2020 - Art. 4º - Aliquota do Passivo Atuarial.</t>
  </si>
  <si>
    <t>Verificação dos saldos Contábeis com o Relatório "Situacao de Empenhos de Restos a Pagar"</t>
  </si>
  <si>
    <t>3.Desp. Liquidada</t>
  </si>
  <si>
    <t>4.Despesa Paga:</t>
  </si>
  <si>
    <t>2. Empenhado</t>
  </si>
  <si>
    <t>5.Resultado: 1-4</t>
  </si>
  <si>
    <t>6.A Pagar: 3-4</t>
  </si>
  <si>
    <t>2. Empenhado:</t>
  </si>
  <si>
    <t>3. Liquidado</t>
  </si>
  <si>
    <t>4. Pago:</t>
  </si>
  <si>
    <t>5. A Pagar = 3 - 4</t>
  </si>
  <si>
    <t>6.Empenhado¹</t>
  </si>
  <si>
    <t>7. Liquidado</t>
  </si>
  <si>
    <r>
      <t>8. Cancelado</t>
    </r>
    <r>
      <rPr>
        <vertAlign val="superscript"/>
        <sz val="8"/>
        <color theme="1"/>
        <rFont val="Calibri"/>
        <family val="2"/>
        <scheme val="minor"/>
      </rPr>
      <t>4</t>
    </r>
    <r>
      <rPr>
        <sz val="8"/>
        <color theme="1"/>
        <rFont val="Calibri"/>
        <family val="2"/>
        <scheme val="minor"/>
      </rPr>
      <t xml:space="preserve"> </t>
    </r>
  </si>
  <si>
    <t>9. Pago³</t>
  </si>
  <si>
    <t>10. A Pagar²= 6 - 8</t>
  </si>
  <si>
    <t>30% - 361 - 2.014</t>
  </si>
  <si>
    <t>30% PRE 2.016</t>
  </si>
  <si>
    <t>30% CRECHE 2.018</t>
  </si>
  <si>
    <t>30% EJA 2.023</t>
  </si>
  <si>
    <t>30%-361-2.023MDE</t>
  </si>
  <si>
    <t>70% - 361 - 2.013</t>
  </si>
  <si>
    <t>70% - PRE - 2.015</t>
  </si>
  <si>
    <t>70% CRECHE 2.017</t>
  </si>
  <si>
    <t>70% Especial 2.021</t>
  </si>
  <si>
    <t>70% EJA 2.022</t>
  </si>
  <si>
    <t>(-) 3.3.91.08</t>
  </si>
  <si>
    <t>Empenhos Orçam. Efetuados</t>
  </si>
  <si>
    <t>Empenhos Restos em 31/12/2020</t>
  </si>
  <si>
    <t>Total Empenhado</t>
  </si>
  <si>
    <t>14.582.056,70</t>
  </si>
  <si>
    <t>4.165.008,25</t>
  </si>
  <si>
    <t>FUNDEF</t>
  </si>
  <si>
    <t>57,84</t>
  </si>
  <si>
    <t>-57,84</t>
  </si>
  <si>
    <t>492.837,01</t>
  </si>
  <si>
    <t>7.343.277,16</t>
  </si>
  <si>
    <t>33.584,90</t>
  </si>
  <si>
    <t>437.163,80</t>
  </si>
  <si>
    <t>66.203,55</t>
  </si>
  <si>
    <t>900,00</t>
  </si>
  <si>
    <t>1.809,10</t>
  </si>
  <si>
    <t>29.842,20</t>
  </si>
  <si>
    <t>98.199,00</t>
  </si>
  <si>
    <t>879,82</t>
  </si>
  <si>
    <t>105.233,58</t>
  </si>
  <si>
    <t>1.789,00</t>
  </si>
  <si>
    <t>81.604,06</t>
  </si>
  <si>
    <t>83.661,24</t>
  </si>
  <si>
    <t>876.112,78</t>
  </si>
  <si>
    <t>2.918,21</t>
  </si>
  <si>
    <t>81.343,88</t>
  </si>
  <si>
    <t>Programa PRODESA</t>
  </si>
  <si>
    <t>71.619,01</t>
  </si>
  <si>
    <t>-71.619,01</t>
  </si>
  <si>
    <t>2.801,48</t>
  </si>
  <si>
    <t>334.353,81</t>
  </si>
  <si>
    <t>99.356,58</t>
  </si>
  <si>
    <t>23,24</t>
  </si>
  <si>
    <t>52.340,23</t>
  </si>
  <si>
    <t>52.363,47</t>
  </si>
  <si>
    <t>20,00</t>
  </si>
  <si>
    <t>8.221,01</t>
  </si>
  <si>
    <t>-30,45</t>
  </si>
  <si>
    <t>Pavimentação da Av. João Manuel de Lima e Silva</t>
  </si>
  <si>
    <t>695.673,71</t>
  </si>
  <si>
    <t>-695.673,71</t>
  </si>
  <si>
    <t>240.343,30</t>
  </si>
  <si>
    <t>178.439,66</t>
  </si>
  <si>
    <t>44.417,48</t>
  </si>
  <si>
    <t>222.857,14</t>
  </si>
  <si>
    <t>216.380,95</t>
  </si>
  <si>
    <t>Pav. João Batista Poglia</t>
  </si>
  <si>
    <t>Drenagem Av. Castelo Branco</t>
  </si>
  <si>
    <t>50.480,48</t>
  </si>
  <si>
    <t>320,03</t>
  </si>
  <si>
    <t>5.585,16</t>
  </si>
  <si>
    <t>101,44</t>
  </si>
  <si>
    <t>261,87</t>
  </si>
  <si>
    <t>203,76</t>
  </si>
  <si>
    <t>127.807,41</t>
  </si>
  <si>
    <t>55.280,96</t>
  </si>
  <si>
    <t>22.924,78</t>
  </si>
  <si>
    <t>762,00</t>
  </si>
  <si>
    <t>6.531,75</t>
  </si>
  <si>
    <t>3,80</t>
  </si>
  <si>
    <t>13.852,80</t>
  </si>
  <si>
    <t>PAB  Fixo / Telessaúde / Acolhimento Infanto Juvenil</t>
  </si>
  <si>
    <t>1.990,00</t>
  </si>
  <si>
    <t>-1.990,00</t>
  </si>
  <si>
    <t>Limite financeiro da Vigilância em Saúde -  Incentivo para ações de prevenção de acidentes e violência / Ações práticas corporais - atividade física</t>
  </si>
  <si>
    <t>467,00</t>
  </si>
  <si>
    <t>-467,00</t>
  </si>
  <si>
    <t>1.170,02</t>
  </si>
  <si>
    <t>-1.170,02</t>
  </si>
  <si>
    <t>29.440.639,33</t>
  </si>
  <si>
    <t>399.857,31</t>
  </si>
  <si>
    <t>18.427,95</t>
  </si>
  <si>
    <t>80.681,24</t>
  </si>
  <si>
    <t>162.391,68</t>
  </si>
  <si>
    <t>54.218,46</t>
  </si>
  <si>
    <t>66.000,00</t>
  </si>
  <si>
    <t>1.135.103,44</t>
  </si>
  <si>
    <t>1.166.150,29</t>
  </si>
  <si>
    <t>Demonstrativos apurados pela Contabilidade da Receita Corrente Realizada e da Despesa Líquidada Orçamentarias.</t>
  </si>
  <si>
    <t>Consolidadas</t>
  </si>
  <si>
    <t>Rec. Corrente - Deduções</t>
  </si>
  <si>
    <t>Análise da relação da Despesa Corrente Liquidada em relação a Receita Orçamentária sem os valores das Receitas Intraorçamentária e de Capital</t>
  </si>
  <si>
    <t>Saldo sem Deduções dos Cancelamentos</t>
  </si>
  <si>
    <t>Despesas Corr. Líquidada</t>
  </si>
  <si>
    <t>Compensação Financeira entre o Regime Geral e os Regimes Próprios de Previdência dos Servidores (312)</t>
  </si>
  <si>
    <t>Remuneração dos Recurso do Regime Próprio de Previdências Social - RPPS (310)</t>
  </si>
  <si>
    <t>Remuneração de Depósito Bancários de Recursos Vínculados - Fundo de Assistência à Saúde do Servidor (341)</t>
  </si>
  <si>
    <t>6.3.2.9.0 RP PROCESSADOS CANCELADOS (3111) R$ 7.518,73</t>
  </si>
  <si>
    <t>600,38</t>
  </si>
  <si>
    <t>59.226,73</t>
  </si>
  <si>
    <t>0,07</t>
  </si>
  <si>
    <t>0,66</t>
  </si>
  <si>
    <t>67.067,16</t>
  </si>
  <si>
    <t>69.985,37</t>
  </si>
  <si>
    <t>99.902,00</t>
  </si>
  <si>
    <t>175.604,18</t>
  </si>
  <si>
    <t>226.084,66</t>
  </si>
  <si>
    <t>6.920,75</t>
  </si>
  <si>
    <t>6.924,55</t>
  </si>
  <si>
    <t>1.169.642,40</t>
  </si>
  <si>
    <t>1.200.689,25</t>
  </si>
  <si>
    <t>59.425,04</t>
  </si>
  <si>
    <t>172.156,18</t>
  </si>
  <si>
    <t>175.435,15</t>
  </si>
  <si>
    <t>97.570,29</t>
  </si>
  <si>
    <t>1.139.200,50</t>
  </si>
  <si>
    <t>1.141.200,50</t>
  </si>
  <si>
    <t>222.376,18</t>
  </si>
  <si>
    <t>3.1.91.13.03.01</t>
  </si>
  <si>
    <t xml:space="preserve"> Ativos/Inativos Poder Executivo/Indiretas</t>
  </si>
  <si>
    <t>Prefeitura Municipal de Cacapava do Sul - RS</t>
  </si>
  <si>
    <t>Relatório Resumido da Execução Orçamentária</t>
  </si>
  <si>
    <t>Demonstrativo Simplificado do Relatório Resumido da Execução Orçamentária</t>
  </si>
  <si>
    <t>Orçamentos Fiscal e da Seguridade Social</t>
  </si>
  <si>
    <t>Janeiro a Outubro 2021/Bimestre Setembro-Outubro</t>
  </si>
  <si>
    <t>RREO - Anexo 14 (LRF, Art. 48)</t>
  </si>
  <si>
    <t>Em Reais</t>
  </si>
  <si>
    <t>BALANÇO ORÇAMENTÁRIO</t>
  </si>
  <si>
    <t>Até o bimestre</t>
  </si>
  <si>
    <t>RECEITAS</t>
  </si>
  <si>
    <t>Previsão Inicial</t>
  </si>
  <si>
    <t>Previsão Atualizada</t>
  </si>
  <si>
    <t>Receitas Realizadas</t>
  </si>
  <si>
    <t>Déficit Orçamentário</t>
  </si>
  <si>
    <t>-</t>
  </si>
  <si>
    <t>Saldos de Exercícios Anteriores(Utilizados para Créditos Adicionais)</t>
  </si>
  <si>
    <t>DESPESAS</t>
  </si>
  <si>
    <t>Dotação Inicial</t>
  </si>
  <si>
    <t>Dotação Atualizada</t>
  </si>
  <si>
    <t>Despesas Empenhadas</t>
  </si>
  <si>
    <t>Despesas Liquidadas</t>
  </si>
  <si>
    <t>Despesas Pagas</t>
  </si>
  <si>
    <t>Superávit Orçamentário</t>
  </si>
  <si>
    <t>DESPESAS POR FUNÇÃO/SUBFUNÇÃO</t>
  </si>
  <si>
    <t>RECEITA CORRENTE LÍQUIDA - RCL</t>
  </si>
  <si>
    <t>Receita Corrente Líquida Ajustada para Cálculo dos Limites de Endividamento</t>
  </si>
  <si>
    <t>Receita Corrente Líquida Ajustada para Cálculo dos Limites da Despesa com Pessoal</t>
  </si>
  <si>
    <t>RECEITAS E DESPESAS DO REGIME PRÓPRIO DE PREVIDÊNCIA DOS SERVIDORES</t>
  </si>
  <si>
    <t>Regime Próprio de Previdência Social dos Servidores - PLANO PREVIDENCIÁRIO</t>
  </si>
  <si>
    <t>Receitas Previdenciárias Realizadas</t>
  </si>
  <si>
    <t>Despesas Previdenciárias Empenhadas</t>
  </si>
  <si>
    <t>Despesas Previdenciárias Liquidadas</t>
  </si>
  <si>
    <t>Resultado Previdenciário</t>
  </si>
  <si>
    <t>Regime Próprio de Previdência Social dos Servidores - PLANO FINANCEIRO</t>
  </si>
  <si>
    <t>RESULTADOS PRIMÁRIO E NOMINAL</t>
  </si>
  <si>
    <t>Meta Fixada no</t>
  </si>
  <si>
    <t>Resultado Apurado</t>
  </si>
  <si>
    <t>% em Relação à Meta</t>
  </si>
  <si>
    <t>Anexo de Metas</t>
  </si>
  <si>
    <t>Até o Bimestre</t>
  </si>
  <si>
    <t>Fiscais da LDO</t>
  </si>
  <si>
    <t>(a)</t>
  </si>
  <si>
    <t>(b)</t>
  </si>
  <si>
    <t>(b/a)</t>
  </si>
  <si>
    <t>Resultado Primário</t>
  </si>
  <si>
    <t>Resultado Nominal</t>
  </si>
  <si>
    <t>RESTOS A PAGAR POR PODER E MINISTÉRIO PÚBLICO</t>
  </si>
  <si>
    <t>Inscrição</t>
  </si>
  <si>
    <t>Cancelamento</t>
  </si>
  <si>
    <t>Pagamento</t>
  </si>
  <si>
    <t>Saldo</t>
  </si>
  <si>
    <t>RESTOS A PAGAR PROCESSADOS</t>
  </si>
  <si>
    <t>Poder Executivo</t>
  </si>
  <si>
    <t>Poder Legislativo</t>
  </si>
  <si>
    <t>RESTOS A PAGAR NÃO-PROCESSADOS</t>
  </si>
  <si>
    <t>Limites Constitucionais Anuais</t>
  </si>
  <si>
    <t>DESPESAS COM MANUTENÇÃO E DESENVOLVIMENTO DO ENSINO</t>
  </si>
  <si>
    <t>Valor Apurado</t>
  </si>
  <si>
    <t>% Mínimo a</t>
  </si>
  <si>
    <t>% Aplicado Até o</t>
  </si>
  <si>
    <t>Aplicar no Exercício</t>
  </si>
  <si>
    <t>Bimestre</t>
  </si>
  <si>
    <t>Mínimo Anual de 25% das Receitas de Impostos na Manutenção e Desenvolvimento do Ensino</t>
  </si>
  <si>
    <t>Mínimo Anual de 70% do FUNDEB na Remuneração dos Profissionais da Educação Básica</t>
  </si>
  <si>
    <t>Percentual de 50% da Complementação da União ao FUNDEB (VAAT) na Educação Infantil</t>
  </si>
  <si>
    <t>Mínimo de 15% da Complementação da União ao FUNDEB (VAAT) em Despesas de Capital</t>
  </si>
  <si>
    <t>Limite Constitucional Anual</t>
  </si>
  <si>
    <t>DESPESAS COM AÇÕES E SERVIÇOS PÚBLICOS DE SAÚDE</t>
  </si>
  <si>
    <t>% Aplicado Até o Bimestre</t>
  </si>
  <si>
    <t>Aplicar no exercicio</t>
  </si>
  <si>
    <t>Despesas com Ações e Serviços Públicos de Saúde executadas com recursos de impostos</t>
  </si>
  <si>
    <t>DESPESAS DE CARÁTER CONTINUADO DERIVADAS DE PPP</t>
  </si>
  <si>
    <t>Valor Apurado no Exercício Corrente</t>
  </si>
  <si>
    <t>Total das Despesas/RCL (%)</t>
  </si>
  <si>
    <t>Período:Janeiro a Outubro</t>
  </si>
  <si>
    <t>Restos a Pagar de exercícios anteriores pagos no período de Janeiro a Outubro de 2021, totalizou:</t>
  </si>
  <si>
    <t>com a Educação representa 25,33% e de Nº 10 que lida com a Saúde 22,18%, respectivamente da Despesa Total Líquidada.</t>
  </si>
  <si>
    <t>POSIÇÃO DAS OBRIGAÇÕES REALIZADAS ATÉ OUTUBRO DE 2021.</t>
  </si>
  <si>
    <t>1º de Janeiro a 31 de Outubro de 2021</t>
  </si>
  <si>
    <t>Fonte: Relatório Consolidado da "Situacao de Empenhos de Restos a Pagar por Orgãos -  Posicão até Outubro/21"</t>
  </si>
  <si>
    <t>Cancelados:</t>
  </si>
  <si>
    <t>Nota:  Na SMA o valor de R$ 38.828,30 e na SEDUC o valor de R$ 49.517,46 dos Restos Liquidados consta a maior que no mês de Setembro de 2021 - Resultado de liquidação de Não Processado.</t>
  </si>
  <si>
    <t>Fonte da Metodologia TCE/RS. (OBS.: Foi deduzidos os valores das Emendandas Parlamentares)</t>
  </si>
  <si>
    <t xml:space="preserve">OBS.: </t>
  </si>
  <si>
    <t>No Valor da RCL foi deduzidos os valores das Emendandas Parlamentares do Período.</t>
  </si>
  <si>
    <t>Disponibilidade Financeira do Recurso Vinculado - Outubro de 2021</t>
  </si>
  <si>
    <t>42.364.863,05</t>
  </si>
  <si>
    <t>3.489.437,00</t>
  </si>
  <si>
    <t>50.536.545,50</t>
  </si>
  <si>
    <t>32.683.287,61</t>
  </si>
  <si>
    <t>47.265.344,31</t>
  </si>
  <si>
    <t>-218.235,81</t>
  </si>
  <si>
    <t>5.670.459,50</t>
  </si>
  <si>
    <t>5.691.781,94</t>
  </si>
  <si>
    <t>5.017.720,72</t>
  </si>
  <si>
    <t>9.182.728,97</t>
  </si>
  <si>
    <t>-3.490.947,03</t>
  </si>
  <si>
    <t>21.858.257,47</t>
  </si>
  <si>
    <t>22.325.676,32</t>
  </si>
  <si>
    <t>20.088.559,86</t>
  </si>
  <si>
    <t>20.581.396,87</t>
  </si>
  <si>
    <t>1.744.279,45</t>
  </si>
  <si>
    <t>10.026.498,33</t>
  </si>
  <si>
    <t>10.144.429,53</t>
  </si>
  <si>
    <t>16.431.844,93</t>
  </si>
  <si>
    <t>23.775.122,09</t>
  </si>
  <si>
    <t>-13.630.692,56</t>
  </si>
  <si>
    <t>24.802.717,52</t>
  </si>
  <si>
    <t>57.838.380,61</t>
  </si>
  <si>
    <t>18.655.063,46</t>
  </si>
  <si>
    <t>18.688.648,36</t>
  </si>
  <si>
    <t>39.149.732,25</t>
  </si>
  <si>
    <t>433.750,68</t>
  </si>
  <si>
    <t>665.937,01</t>
  </si>
  <si>
    <t>228.773,21</t>
  </si>
  <si>
    <t>1.301.867,94</t>
  </si>
  <si>
    <t>1.818.186,42</t>
  </si>
  <si>
    <t>461.559,38</t>
  </si>
  <si>
    <t>527.762,93</t>
  </si>
  <si>
    <t>1.290.423,49</t>
  </si>
  <si>
    <t>90.621,40</t>
  </si>
  <si>
    <t>318.759,89</t>
  </si>
  <si>
    <t>131.323,14</t>
  </si>
  <si>
    <t>187.436,75</t>
  </si>
  <si>
    <t>25.853,38</t>
  </si>
  <si>
    <t>1.376.212,67</t>
  </si>
  <si>
    <t>875.293,74</t>
  </si>
  <si>
    <t>1.253.713,63</t>
  </si>
  <si>
    <t>761.879,66</t>
  </si>
  <si>
    <t>762.779,66</t>
  </si>
  <si>
    <t>490.933,97</t>
  </si>
  <si>
    <t>201,24</t>
  </si>
  <si>
    <t>13.839,35</t>
  </si>
  <si>
    <t>21,27</t>
  </si>
  <si>
    <t>1.166,59</t>
  </si>
  <si>
    <t>56.290,16</t>
  </si>
  <si>
    <t>57.667,39</t>
  </si>
  <si>
    <t>76.901,69</t>
  </si>
  <si>
    <t>78.710,79</t>
  </si>
  <si>
    <t>-21.043,40</t>
  </si>
  <si>
    <t>263.267,80</t>
  </si>
  <si>
    <t>940.965,28</t>
  </si>
  <si>
    <t>486.131,76</t>
  </si>
  <si>
    <t>515.973,96</t>
  </si>
  <si>
    <t>424.991,32</t>
  </si>
  <si>
    <t>10.320,14</t>
  </si>
  <si>
    <t>51.620,25</t>
  </si>
  <si>
    <t>-46.578,75</t>
  </si>
  <si>
    <t>45.925,66</t>
  </si>
  <si>
    <t>197.706,75</t>
  </si>
  <si>
    <t>60.571,16</t>
  </si>
  <si>
    <t>62.360,16</t>
  </si>
  <si>
    <t>135.346,59</t>
  </si>
  <si>
    <t>2,28</t>
  </si>
  <si>
    <t>163,32</t>
  </si>
  <si>
    <t>4.682,85</t>
  </si>
  <si>
    <t>76.434,97</t>
  </si>
  <si>
    <t>-7.226,27</t>
  </si>
  <si>
    <t>420.918,87</t>
  </si>
  <si>
    <t>703.407,05</t>
  </si>
  <si>
    <t>771.296,98</t>
  </si>
  <si>
    <t>1.647.409,76</t>
  </si>
  <si>
    <t>-944.002,71</t>
  </si>
  <si>
    <t>2.717,42</t>
  </si>
  <si>
    <t>194.667,88</t>
  </si>
  <si>
    <t>10.944,32</t>
  </si>
  <si>
    <t>139.229,58</t>
  </si>
  <si>
    <t>69.244,21</t>
  </si>
  <si>
    <t>18.073,78</t>
  </si>
  <si>
    <t>30.277,15</t>
  </si>
  <si>
    <t>26.462,00</t>
  </si>
  <si>
    <t>30.139,69</t>
  </si>
  <si>
    <t>137,46</t>
  </si>
  <si>
    <t>3.989.015,48</t>
  </si>
  <si>
    <t>5.939.768,78</t>
  </si>
  <si>
    <t>6.312.769,55</t>
  </si>
  <si>
    <t>6.362.047,95</t>
  </si>
  <si>
    <t>-422.279,17</t>
  </si>
  <si>
    <t>786,83</t>
  </si>
  <si>
    <t>43.163,30</t>
  </si>
  <si>
    <t>-38.180,58</t>
  </si>
  <si>
    <t>112,67</t>
  </si>
  <si>
    <t>9.254,28</t>
  </si>
  <si>
    <t>2.593,40</t>
  </si>
  <si>
    <t>130.728,13</t>
  </si>
  <si>
    <t>31.371,55</t>
  </si>
  <si>
    <t>0,60</t>
  </si>
  <si>
    <t>43,08</t>
  </si>
  <si>
    <t>49.557,04</t>
  </si>
  <si>
    <t>60.040,97</t>
  </si>
  <si>
    <t>7.677,50</t>
  </si>
  <si>
    <t>80.076,91</t>
  </si>
  <si>
    <t>123.821,02</t>
  </si>
  <si>
    <t>-116.522,28</t>
  </si>
  <si>
    <t>178.814,70</t>
  </si>
  <si>
    <t>223.567,63</t>
  </si>
  <si>
    <t>710,49</t>
  </si>
  <si>
    <t>163.270,14</t>
  </si>
  <si>
    <t>163.302,24</t>
  </si>
  <si>
    <t>-53.078,71</t>
  </si>
  <si>
    <t>100.986,99</t>
  </si>
  <si>
    <t>1.084,99</t>
  </si>
  <si>
    <t>201.753,13</t>
  </si>
  <si>
    <t>100.794,46</t>
  </si>
  <si>
    <t>1.328,18</t>
  </si>
  <si>
    <t>326.032,11</t>
  </si>
  <si>
    <t>99.947,45</t>
  </si>
  <si>
    <t>362.463,20</t>
  </si>
  <si>
    <t>371.401,18</t>
  </si>
  <si>
    <t>360.566,72</t>
  </si>
  <si>
    <t>360.886,75</t>
  </si>
  <si>
    <t>10.514,43</t>
  </si>
  <si>
    <t>238.264,00</t>
  </si>
  <si>
    <t>355.001,74</t>
  </si>
  <si>
    <t>245.643,35</t>
  </si>
  <si>
    <t>251.228,51</t>
  </si>
  <si>
    <t>103.773,23</t>
  </si>
  <si>
    <t>8,13</t>
  </si>
  <si>
    <t>504,68</t>
  </si>
  <si>
    <t>300.526,90</t>
  </si>
  <si>
    <t>345.240,05</t>
  </si>
  <si>
    <t>307.777,96</t>
  </si>
  <si>
    <t>307.879,40</t>
  </si>
  <si>
    <t>37.360,65</t>
  </si>
  <si>
    <t>690,07</t>
  </si>
  <si>
    <t>42.827,36</t>
  </si>
  <si>
    <t>112.670,92</t>
  </si>
  <si>
    <t>112.838,67</t>
  </si>
  <si>
    <t>110.811,19</t>
  </si>
  <si>
    <t>2.027,48</t>
  </si>
  <si>
    <t>56,86</t>
  </si>
  <si>
    <t>3.887,21</t>
  </si>
  <si>
    <t>3.271,21</t>
  </si>
  <si>
    <t>132.158,79</t>
  </si>
  <si>
    <t>136.278,76</t>
  </si>
  <si>
    <t>135.414,92</t>
  </si>
  <si>
    <t>863,84</t>
  </si>
  <si>
    <t>8,07</t>
  </si>
  <si>
    <t>501,11</t>
  </si>
  <si>
    <t>239,24</t>
  </si>
  <si>
    <t>50.659,26</t>
  </si>
  <si>
    <t>51.009,36</t>
  </si>
  <si>
    <t>38,66</t>
  </si>
  <si>
    <t>2.399,89</t>
  </si>
  <si>
    <t>116,20</t>
  </si>
  <si>
    <t>7.210,70</t>
  </si>
  <si>
    <t>7.006,94</t>
  </si>
  <si>
    <t>1.921,31</t>
  </si>
  <si>
    <t>129.988,20</t>
  </si>
  <si>
    <t>2.180,79</t>
  </si>
  <si>
    <t>4.451.994,99</t>
  </si>
  <si>
    <t>5.508.170,17</t>
  </si>
  <si>
    <t>4.362.218,93</t>
  </si>
  <si>
    <t>4.417.499,89</t>
  </si>
  <si>
    <t>1.090.670,28</t>
  </si>
  <si>
    <t>773.894,27</t>
  </si>
  <si>
    <t>817.890,96</t>
  </si>
  <si>
    <t>911.652,10</t>
  </si>
  <si>
    <t>934.576,88</t>
  </si>
  <si>
    <t>-116.685,92</t>
  </si>
  <si>
    <t>106.164,26</t>
  </si>
  <si>
    <t>229.669,11</t>
  </si>
  <si>
    <t>140.671,77</t>
  </si>
  <si>
    <t>141.433,77</t>
  </si>
  <si>
    <t>88.235,34</t>
  </si>
  <si>
    <t>185.209,88</t>
  </si>
  <si>
    <t>296.900,74</t>
  </si>
  <si>
    <t>219.567,43</t>
  </si>
  <si>
    <t>230.576,63</t>
  </si>
  <si>
    <t>66.324,11</t>
  </si>
  <si>
    <t>12.791,84</t>
  </si>
  <si>
    <t>62.323,97</t>
  </si>
  <si>
    <t>55.399,42</t>
  </si>
  <si>
    <t>10.323,94</t>
  </si>
  <si>
    <t>748.857,15</t>
  </si>
  <si>
    <t>163.817,49</t>
  </si>
  <si>
    <t>585.039,66</t>
  </si>
  <si>
    <t>197,08</t>
  </si>
  <si>
    <t>14.038,62</t>
  </si>
  <si>
    <t>185,82</t>
  </si>
  <si>
    <t>4,31</t>
  </si>
  <si>
    <t>308,86</t>
  </si>
  <si>
    <t>1.273,51</t>
  </si>
  <si>
    <t>91.171,79</t>
  </si>
  <si>
    <t>63.059,54</t>
  </si>
  <si>
    <t>1.287.388,11</t>
  </si>
  <si>
    <t>86.698,86</t>
  </si>
  <si>
    <t>247,26</t>
  </si>
  <si>
    <t>17.622,26</t>
  </si>
  <si>
    <t>0,76</t>
  </si>
  <si>
    <t>135,10</t>
  </si>
  <si>
    <t>119.961.697,95</t>
  </si>
  <si>
    <t>174.704.838,28</t>
  </si>
  <si>
    <t>111.781.244,48</t>
  </si>
  <si>
    <t>141.221.883,81</t>
  </si>
  <si>
    <t>29.993.517,47</t>
  </si>
  <si>
    <t>31.028.075,14</t>
  </si>
  <si>
    <t>329.300,40</t>
  </si>
  <si>
    <t>31.357.375,54</t>
  </si>
  <si>
    <t>15.689.732,96</t>
  </si>
  <si>
    <t>4.904.902,02</t>
  </si>
  <si>
    <t>257.777,26</t>
  </si>
  <si>
    <t>5.162.679,28</t>
  </si>
  <si>
    <t>529.102,66</t>
  </si>
  <si>
    <t>2.237.116,46</t>
  </si>
  <si>
    <t>16.113.918,71</t>
  </si>
  <si>
    <t>16.513.776,02</t>
  </si>
  <si>
    <t>-6.369.346,49</t>
  </si>
  <si>
    <t>18.643.681,76</t>
  </si>
  <si>
    <t>39.194.698,85</t>
  </si>
  <si>
    <t>402.715,09</t>
  </si>
  <si>
    <t>263.221,92</t>
  </si>
  <si>
    <t>416.605,42</t>
  </si>
  <si>
    <t>422.805,97</t>
  </si>
  <si>
    <t>1.395.380,45</t>
  </si>
  <si>
    <t>491.833,97</t>
  </si>
  <si>
    <t>65.259,89</t>
  </si>
  <si>
    <t>-7.592,50</t>
  </si>
  <si>
    <t>397.605,25</t>
  </si>
  <si>
    <t>543.360,03</t>
  </si>
  <si>
    <t>59.746,97</t>
  </si>
  <si>
    <t>137.959,78</t>
  </si>
  <si>
    <t>-2.866,27</t>
  </si>
  <si>
    <t>626.305,15</t>
  </si>
  <si>
    <t>661.459,79</t>
  </si>
  <si>
    <t>41.947,26</t>
  </si>
  <si>
    <t>58.354,27</t>
  </si>
  <si>
    <t>80.875,31</t>
  </si>
  <si>
    <t>3.815,15</t>
  </si>
  <si>
    <t>5.229.416,66</t>
  </si>
  <si>
    <t>710.352,12</t>
  </si>
  <si>
    <t>85.133,80</t>
  </si>
  <si>
    <t>141.674,90</t>
  </si>
  <si>
    <t>153.875,93</t>
  </si>
  <si>
    <t>10.834,46</t>
  </si>
  <si>
    <t>227.945,75</t>
  </si>
  <si>
    <t>127.055,99</t>
  </si>
  <si>
    <t>37.462,09</t>
  </si>
  <si>
    <t>110.596,19</t>
  </si>
  <si>
    <t>2.242,48</t>
  </si>
  <si>
    <t>132.610,32</t>
  </si>
  <si>
    <t>3.668,44</t>
  </si>
  <si>
    <t>111.560,25</t>
  </si>
  <si>
    <t>4.050.710,74</t>
  </si>
  <si>
    <t>1.457.459,43</t>
  </si>
  <si>
    <t>791.118,49</t>
  </si>
  <si>
    <t>26.772,47</t>
  </si>
  <si>
    <t>117.789,20</t>
  </si>
  <si>
    <t>111.879,91</t>
  </si>
  <si>
    <t>157.982,69</t>
  </si>
  <si>
    <t>138.918,05</t>
  </si>
  <si>
    <t>55.792,22</t>
  </si>
  <si>
    <t>651.286,86</t>
  </si>
  <si>
    <t>146.187,61</t>
  </si>
  <si>
    <t>107.325.520,46</t>
  </si>
  <si>
    <t>1.210.343,21</t>
  </si>
  <si>
    <t>108.535.863,67</t>
  </si>
  <si>
    <t>62.679.537,61</t>
  </si>
  <si>
    <t>29.330.736,00</t>
  </si>
  <si>
    <t>3.465.765,10</t>
  </si>
  <si>
    <t>32.796.501,10</t>
  </si>
  <si>
    <t>14.250.607,40</t>
  </si>
  <si>
    <t>4.753.719,18</t>
  </si>
  <si>
    <t>998.699,51</t>
  </si>
  <si>
    <t>5.752.418,69</t>
  </si>
  <si>
    <t>-60.636,75</t>
  </si>
  <si>
    <t>19.322.984,55</t>
  </si>
  <si>
    <t>19.572.376,41</t>
  </si>
  <si>
    <t>2.753.299,91</t>
  </si>
  <si>
    <t>15.012.063,64</t>
  </si>
  <si>
    <t>2.299.190,60</t>
  </si>
  <si>
    <t>17.311.254,24</t>
  </si>
  <si>
    <t>-7.166.824,71</t>
  </si>
  <si>
    <t>18.640.217,29</t>
  </si>
  <si>
    <t>18.640.871,29</t>
  </si>
  <si>
    <t>39.197.509,32</t>
  </si>
  <si>
    <t>319.528,52</t>
  </si>
  <si>
    <t>384.591,35</t>
  </si>
  <si>
    <t>1.433.595,07</t>
  </si>
  <si>
    <t>96.819,07</t>
  </si>
  <si>
    <t>221.940,82</t>
  </si>
  <si>
    <t>499.093,38</t>
  </si>
  <si>
    <t>754.620,25</t>
  </si>
  <si>
    <t>62.489,89</t>
  </si>
  <si>
    <t>62.558,99</t>
  </si>
  <si>
    <t>-4.891,60</t>
  </si>
  <si>
    <t>365.475,29</t>
  </si>
  <si>
    <t>394.136,85</t>
  </si>
  <si>
    <t>546.828,43</t>
  </si>
  <si>
    <t>61.210,44</t>
  </si>
  <si>
    <t>136.496,31</t>
  </si>
  <si>
    <t>-4.246,27</t>
  </si>
  <si>
    <t>418.671,86</t>
  </si>
  <si>
    <t>581.063,54</t>
  </si>
  <si>
    <t>122.343,51</t>
  </si>
  <si>
    <t>55.957,11</t>
  </si>
  <si>
    <t>58.320,27</t>
  </si>
  <si>
    <t>80.909,31</t>
  </si>
  <si>
    <t>11.937,46</t>
  </si>
  <si>
    <t>5.068.257,75</t>
  </si>
  <si>
    <t>5.117.536,15</t>
  </si>
  <si>
    <t>822.232,63</t>
  </si>
  <si>
    <t>157.567,63</t>
  </si>
  <si>
    <t>73.537,08</t>
  </si>
  <si>
    <t>89.765,16</t>
  </si>
  <si>
    <t>103.655,93</t>
  </si>
  <si>
    <t>178.870,31</t>
  </si>
  <si>
    <t>176.131,43</t>
  </si>
  <si>
    <t>131.250,20</t>
  </si>
  <si>
    <t>5.028,56</t>
  </si>
  <si>
    <t>3.796.550,91</t>
  </si>
  <si>
    <t>3.850.133,93</t>
  </si>
  <si>
    <t>1.658.036,24</t>
  </si>
  <si>
    <t>757.195,70</t>
  </si>
  <si>
    <t>777.140,78</t>
  </si>
  <si>
    <t>40.750,18</t>
  </si>
  <si>
    <t>102.308,74</t>
  </si>
  <si>
    <t>102.690,74</t>
  </si>
  <si>
    <t>126.978,37</t>
  </si>
  <si>
    <t>140.317,87</t>
  </si>
  <si>
    <t>151.327,07</t>
  </si>
  <si>
    <t>145.573,67</t>
  </si>
  <si>
    <t>121.237,82</t>
  </si>
  <si>
    <t>102.398.436,72</t>
  </si>
  <si>
    <t>7.751.582,33</t>
  </si>
  <si>
    <t>110.150.019,05</t>
  </si>
  <si>
    <t>61.065.382,23</t>
  </si>
  <si>
    <t>Relatório Resumido de Execução Orçamentária</t>
  </si>
  <si>
    <t>Demonstrativo da Execução das Despesas por Função/Subfunção</t>
  </si>
  <si>
    <t>Orçamento Fiscal e da Seguridade Social</t>
  </si>
  <si>
    <t>RREO - ANEXO 2 (LRF, Art. 52, inciso II, alínea 'c')</t>
  </si>
  <si>
    <t>R$ 1,00</t>
  </si>
  <si>
    <t>FUNÇÃO/SUBFUNÇÃO</t>
  </si>
  <si>
    <t>Dotação</t>
  </si>
  <si>
    <t>SALDO</t>
  </si>
  <si>
    <t xml:space="preserve">Saldo </t>
  </si>
  <si>
    <t>Inicial</t>
  </si>
  <si>
    <t>Atualizada</t>
  </si>
  <si>
    <t>No Bimestre</t>
  </si>
  <si>
    <t xml:space="preserve"> </t>
  </si>
  <si>
    <t>(b/total b)</t>
  </si>
  <si>
    <t>(c)=(a-b)</t>
  </si>
  <si>
    <t>(d)</t>
  </si>
  <si>
    <t>(d/Total d)</t>
  </si>
  <si>
    <t>(e)=(a-d)</t>
  </si>
  <si>
    <t>DESPESAS(EXCETO INTRAORÇAMENTÁRIAS)(I)</t>
  </si>
  <si>
    <t>Legislativa</t>
  </si>
  <si>
    <t>Ação Legislativa</t>
  </si>
  <si>
    <t>Previdência Básica</t>
  </si>
  <si>
    <t>Essencial à Justiça</t>
  </si>
  <si>
    <t>Representação Judicial e Extrajudicial</t>
  </si>
  <si>
    <t>Administração</t>
  </si>
  <si>
    <t>Administração Geral</t>
  </si>
  <si>
    <t>Administração Financeira</t>
  </si>
  <si>
    <t>Controle Interno</t>
  </si>
  <si>
    <t>Normatização e Fiscalização</t>
  </si>
  <si>
    <t>Tecnologia da Informação</t>
  </si>
  <si>
    <t>Formação de Recursos Humanos</t>
  </si>
  <si>
    <t>Administração de Receitas</t>
  </si>
  <si>
    <t>Comunicação Social</t>
  </si>
  <si>
    <t>Proteção e Benefícios ao Trabalhador</t>
  </si>
  <si>
    <t>Turismo</t>
  </si>
  <si>
    <t>Segurança Pública</t>
  </si>
  <si>
    <t>Defesa Terrestre</t>
  </si>
  <si>
    <t>Defesa Civil</t>
  </si>
  <si>
    <t>Serviços Urbanos</t>
  </si>
  <si>
    <t>Assistência Social</t>
  </si>
  <si>
    <t>Assistência ao Idoso</t>
  </si>
  <si>
    <t>Assistência ao Portador de Deficiência</t>
  </si>
  <si>
    <t>Assistência à Criança e ao Adolescente</t>
  </si>
  <si>
    <t>Assistência Comunitária</t>
  </si>
  <si>
    <t>Previdência Social</t>
  </si>
  <si>
    <t>Previdência do Regime Estatutário</t>
  </si>
  <si>
    <t>Assistência Hospitalar e Ambulatorial</t>
  </si>
  <si>
    <t>Saúde</t>
  </si>
  <si>
    <t>Atenção Básica</t>
  </si>
  <si>
    <t>Suporte Profilático e Terapêutico</t>
  </si>
  <si>
    <t>Vigilância Sanitária</t>
  </si>
  <si>
    <t>Vigilância Epidemiológica</t>
  </si>
  <si>
    <t>Trabalho</t>
  </si>
  <si>
    <t>Educação</t>
  </si>
  <si>
    <t>Ensino Fundamental</t>
  </si>
  <si>
    <t>Ensino Médio</t>
  </si>
  <si>
    <t>Ensino Superior</t>
  </si>
  <si>
    <t>Educação Infantil</t>
  </si>
  <si>
    <t>Educação de Jovens e Adultos</t>
  </si>
  <si>
    <t>Educação Especial</t>
  </si>
  <si>
    <t>Preservação e Conservação Ambiental</t>
  </si>
  <si>
    <t>Cultura</t>
  </si>
  <si>
    <t>Patrimônio Histórico, Artístico e Arqueológico</t>
  </si>
  <si>
    <t>Difusão Cultural</t>
  </si>
  <si>
    <t>Direitos da Cidadania</t>
  </si>
  <si>
    <t>Direitos Individuais, Coletivos e Difusos</t>
  </si>
  <si>
    <t>Urbanismo</t>
  </si>
  <si>
    <t>Infra-estrutura Urbana</t>
  </si>
  <si>
    <t>Habitação</t>
  </si>
  <si>
    <t>Habitação Urbana</t>
  </si>
  <si>
    <t>Saneamento</t>
  </si>
  <si>
    <t>Saneamento Básico Rural</t>
  </si>
  <si>
    <t>Saneamento Básico Urbano</t>
  </si>
  <si>
    <t>Gestão Ambiental</t>
  </si>
  <si>
    <t>Controle Ambiental</t>
  </si>
  <si>
    <t>Abastecimento</t>
  </si>
  <si>
    <t>Agricultura</t>
  </si>
  <si>
    <t>Extensão Rural</t>
  </si>
  <si>
    <t>Promoção da Produção Agropecuária</t>
  </si>
  <si>
    <t>Defesa Agropecuária</t>
  </si>
  <si>
    <t>Indústria</t>
  </si>
  <si>
    <t>Promoção Industrial</t>
  </si>
  <si>
    <t>Comércio e Serviços</t>
  </si>
  <si>
    <t>Promoção Comercial</t>
  </si>
  <si>
    <t>Comunicações</t>
  </si>
  <si>
    <t>Telecomunicações</t>
  </si>
  <si>
    <t>Transporte</t>
  </si>
  <si>
    <t>Transporte Rodoviário</t>
  </si>
  <si>
    <t>Desporto e Lazer</t>
  </si>
  <si>
    <t>Desporto Comunitário</t>
  </si>
  <si>
    <t>Encargos Especiais</t>
  </si>
  <si>
    <t>Outros Encargos Especiais</t>
  </si>
  <si>
    <t>Reserva de Contingência</t>
  </si>
  <si>
    <t>DESPESAS INTRAORÇAMENTÁRIAS (II)</t>
  </si>
  <si>
    <t>TOTAL (III)=(I+II)</t>
  </si>
  <si>
    <t>100,00</t>
  </si>
  <si>
    <t>DESPESAS(INTRAORÇAMENTÁRIAS) (II)</t>
  </si>
  <si>
    <t>Prefeitura Municipal de Cacapava do Sul-RS</t>
  </si>
  <si>
    <t>Página 1 de 2</t>
  </si>
  <si>
    <t>Demonstrativo da Receita Corrente Líquida</t>
  </si>
  <si>
    <t>Novembro/2020 a Outubro/2021</t>
  </si>
  <si>
    <t>RREO - ANEXO 3 (LRF, Art.53, inciso I)</t>
  </si>
  <si>
    <t>ESPECIFICAÇÃO</t>
  </si>
  <si>
    <t>EVOLUÇÃO DA RECEITA REALIZADA NOS ÚLTIMOS 12 MESES</t>
  </si>
  <si>
    <t>Novembro/2020</t>
  </si>
  <si>
    <t>Dezembro/2020</t>
  </si>
  <si>
    <t>Janeiro/2021</t>
  </si>
  <si>
    <t>Fevereiro/2021</t>
  </si>
  <si>
    <t>Março/2021</t>
  </si>
  <si>
    <t>Abril/2021</t>
  </si>
  <si>
    <t>Total (Últimos 12 Meses)</t>
  </si>
  <si>
    <t>Previsão Atualizada 2021</t>
  </si>
  <si>
    <t>Maio/2021</t>
  </si>
  <si>
    <t>Junho/2021</t>
  </si>
  <si>
    <t>Julho/2021</t>
  </si>
  <si>
    <t>Agosto/2021</t>
  </si>
  <si>
    <t>Setembro/2021</t>
  </si>
  <si>
    <t>Outubro/2021</t>
  </si>
  <si>
    <t>RECEITAS CORRENTES (I)</t>
  </si>
  <si>
    <t>9.382.722,99</t>
  </si>
  <si>
    <t>14.985.348,45</t>
  </si>
  <si>
    <t>11.171.519,66</t>
  </si>
  <si>
    <t>9.895.489,16</t>
  </si>
  <si>
    <t>10.067.328,70</t>
  </si>
  <si>
    <t>10.665.436,78</t>
  </si>
  <si>
    <t>133.162.378,44</t>
  </si>
  <si>
    <t>139.558.630,25</t>
  </si>
  <si>
    <t>11.074.063,37</t>
  </si>
  <si>
    <t>9.904.779,62</t>
  </si>
  <si>
    <t>13.507.270,02</t>
  </si>
  <si>
    <t>10.566.965,13</t>
  </si>
  <si>
    <t>9.535.085,74</t>
  </si>
  <si>
    <t>12.406.368,82</t>
  </si>
  <si>
    <t>Impostos, Taxas e Contribuições de Melhoria</t>
  </si>
  <si>
    <t>791.516,55</t>
  </si>
  <si>
    <t>1.246.176,68</t>
  </si>
  <si>
    <t>2.169.534,08</t>
  </si>
  <si>
    <t>941.842,03</t>
  </si>
  <si>
    <t>868.525,16</t>
  </si>
  <si>
    <t>963.367,63</t>
  </si>
  <si>
    <t>13.119.094,03</t>
  </si>
  <si>
    <t>16.660.976,72</t>
  </si>
  <si>
    <t>988.520,25</t>
  </si>
  <si>
    <t>1.033.026,56</t>
  </si>
  <si>
    <t>788.208,47</t>
  </si>
  <si>
    <t>960.992,31</t>
  </si>
  <si>
    <t>1.006.106,11</t>
  </si>
  <si>
    <t>1.361.278,20</t>
  </si>
  <si>
    <t>85.120,82</t>
  </si>
  <si>
    <t>182.005,58</t>
  </si>
  <si>
    <t>1.451.216,75</t>
  </si>
  <si>
    <t>230.264,45</t>
  </si>
  <si>
    <t>136.497,62</t>
  </si>
  <si>
    <t>100.290,37</t>
  </si>
  <si>
    <t>2.808.733,98</t>
  </si>
  <si>
    <t>4.037.453,83</t>
  </si>
  <si>
    <t>108.254,91</t>
  </si>
  <si>
    <t>103.670,88</t>
  </si>
  <si>
    <t>92.357,22</t>
  </si>
  <si>
    <t>91.556,93</t>
  </si>
  <si>
    <t>78.982,33</t>
  </si>
  <si>
    <t>148.516,12</t>
  </si>
  <si>
    <t>ISS</t>
  </si>
  <si>
    <t>322.283,55</t>
  </si>
  <si>
    <t>343.644,30</t>
  </si>
  <si>
    <t>366.361,19</t>
  </si>
  <si>
    <t>264.932,11</t>
  </si>
  <si>
    <t>267.815,39</t>
  </si>
  <si>
    <t>312.930,52</t>
  </si>
  <si>
    <t>4.157.161,26</t>
  </si>
  <si>
    <t>5.723.855,79</t>
  </si>
  <si>
    <t>257.718,27</t>
  </si>
  <si>
    <t>289.990,90</t>
  </si>
  <si>
    <t>311.981,98</t>
  </si>
  <si>
    <t>366.655,81</t>
  </si>
  <si>
    <t>453.724,42</t>
  </si>
  <si>
    <t>599.122,82</t>
  </si>
  <si>
    <t>93.626,44</t>
  </si>
  <si>
    <t>158.651,23</t>
  </si>
  <si>
    <t>67.436,03</t>
  </si>
  <si>
    <t>99.259,48</t>
  </si>
  <si>
    <t>59.467,98</t>
  </si>
  <si>
    <t>175.484,26</t>
  </si>
  <si>
    <t>1.973.906,75</t>
  </si>
  <si>
    <t>1.078.358,27</t>
  </si>
  <si>
    <t>305.547,47</t>
  </si>
  <si>
    <t>331.634,49</t>
  </si>
  <si>
    <t>71.832,01</t>
  </si>
  <si>
    <t>194.048,22</t>
  </si>
  <si>
    <t>160.923,96</t>
  </si>
  <si>
    <t>255.995,18</t>
  </si>
  <si>
    <t>266.936,43</t>
  </si>
  <si>
    <t>529.525,28</t>
  </si>
  <si>
    <t>231.491,83</t>
  </si>
  <si>
    <t>288.140,45</t>
  </si>
  <si>
    <t>302.878,31</t>
  </si>
  <si>
    <t>290.625,11</t>
  </si>
  <si>
    <t>3.617.203,52</t>
  </si>
  <si>
    <t>3.488.232,14</t>
  </si>
  <si>
    <t>282.619,14</t>
  </si>
  <si>
    <t>283.252,43</t>
  </si>
  <si>
    <t>280.450,88</t>
  </si>
  <si>
    <t>277.436,46</t>
  </si>
  <si>
    <t>282.519,63</t>
  </si>
  <si>
    <t>301.327,57</t>
  </si>
  <si>
    <t>Outros Impostos, Taxas e Contribuições de Melhoria</t>
  </si>
  <si>
    <t>23.549,31</t>
  </si>
  <si>
    <t>32.350,29</t>
  </si>
  <si>
    <t>53.028,28</t>
  </si>
  <si>
    <t>59.245,54</t>
  </si>
  <si>
    <t>101.865,86</t>
  </si>
  <si>
    <t>84.037,37</t>
  </si>
  <si>
    <t>562.088,52</t>
  </si>
  <si>
    <t>2.333.076,69</t>
  </si>
  <si>
    <t>34.380,46</t>
  </si>
  <si>
    <t>24.477,86</t>
  </si>
  <si>
    <t>31.586,38</t>
  </si>
  <si>
    <t>31.294,89</t>
  </si>
  <si>
    <t>29.955,77</t>
  </si>
  <si>
    <t>56.316,51</t>
  </si>
  <si>
    <t>Contribuições</t>
  </si>
  <si>
    <t>497.058,13</t>
  </si>
  <si>
    <t>1.017.848,72</t>
  </si>
  <si>
    <t>624.320,28</t>
  </si>
  <si>
    <t>615.860,45</t>
  </si>
  <si>
    <t>639.249,38</t>
  </si>
  <si>
    <t>642.367,05</t>
  </si>
  <si>
    <t>7.736.477,94</t>
  </si>
  <si>
    <t>6.515.567,25</t>
  </si>
  <si>
    <t>617.950,54</t>
  </si>
  <si>
    <t>606.750,37</t>
  </si>
  <si>
    <t>605.559,66</t>
  </si>
  <si>
    <t>615.218,45</t>
  </si>
  <si>
    <t>619.494,17</t>
  </si>
  <si>
    <t>634.800,74</t>
  </si>
  <si>
    <t>Receita Patrimonial</t>
  </si>
  <si>
    <t>348.427,26</t>
  </si>
  <si>
    <t>699.613,03</t>
  </si>
  <si>
    <t>13.176,94</t>
  </si>
  <si>
    <t>12.839,44</t>
  </si>
  <si>
    <t>-2.313,78</t>
  </si>
  <si>
    <t>248.400,51</t>
  </si>
  <si>
    <t>1.790.261,74</t>
  </si>
  <si>
    <t>6.420.844,14</t>
  </si>
  <si>
    <t>192.554,70</t>
  </si>
  <si>
    <t>26.687,06</t>
  </si>
  <si>
    <t>22.601,63</t>
  </si>
  <si>
    <t>768,42</t>
  </si>
  <si>
    <t>141.429,92</t>
  </si>
  <si>
    <t>86.076,61</t>
  </si>
  <si>
    <t>Rendimentos de Aplicação Financeira</t>
  </si>
  <si>
    <t>347.010,77</t>
  </si>
  <si>
    <t>698.546,54</t>
  </si>
  <si>
    <t>12.303,31</t>
  </si>
  <si>
    <t>11.349,04</t>
  </si>
  <si>
    <t>-3.104,18</t>
  </si>
  <si>
    <t>247.760,11</t>
  </si>
  <si>
    <t>1.771.897,55</t>
  </si>
  <si>
    <t>6.263.908,76</t>
  </si>
  <si>
    <t>191.914,30</t>
  </si>
  <si>
    <t>26.046,66</t>
  </si>
  <si>
    <t>21.861,23</t>
  </si>
  <si>
    <t>-1.424,98</t>
  </si>
  <si>
    <t>138.489,52</t>
  </si>
  <si>
    <t>81.145,23</t>
  </si>
  <si>
    <t>Outras Receitas Patrimoniais</t>
  </si>
  <si>
    <t>1.416,49</t>
  </si>
  <si>
    <t>1.066,49</t>
  </si>
  <si>
    <t>873,63</t>
  </si>
  <si>
    <t>1.490,40</t>
  </si>
  <si>
    <t>790,40</t>
  </si>
  <si>
    <t>640,40</t>
  </si>
  <si>
    <t>18.364,19</t>
  </si>
  <si>
    <t>156.935,38</t>
  </si>
  <si>
    <t>740,40</t>
  </si>
  <si>
    <t>2.193,40</t>
  </si>
  <si>
    <t>2.940,40</t>
  </si>
  <si>
    <t>4.931,38</t>
  </si>
  <si>
    <t>Receita Agropecuária</t>
  </si>
  <si>
    <t>8.131,82</t>
  </si>
  <si>
    <t>6.852,63</t>
  </si>
  <si>
    <t>8.743,15</t>
  </si>
  <si>
    <t>4.530,05</t>
  </si>
  <si>
    <t>3.575,72</t>
  </si>
  <si>
    <t>8.860,93</t>
  </si>
  <si>
    <t>75.494,46</t>
  </si>
  <si>
    <t>403.236,70</t>
  </si>
  <si>
    <t>9.674,30</t>
  </si>
  <si>
    <t>10.126,36</t>
  </si>
  <si>
    <t>6.383,34</t>
  </si>
  <si>
    <t>4.937,76</t>
  </si>
  <si>
    <t>1.770,51</t>
  </si>
  <si>
    <t>1.907,89</t>
  </si>
  <si>
    <t>Receita Industrial</t>
  </si>
  <si>
    <t>Receita de Serviços</t>
  </si>
  <si>
    <t>42.281,96</t>
  </si>
  <si>
    <t>35.701,68</t>
  </si>
  <si>
    <t>36.955,90</t>
  </si>
  <si>
    <t>34.624,23</t>
  </si>
  <si>
    <t>31.803,94</t>
  </si>
  <si>
    <t>29.478,60</t>
  </si>
  <si>
    <t>436.152,37</t>
  </si>
  <si>
    <t>475.566,36</t>
  </si>
  <si>
    <t>32.213,56</t>
  </si>
  <si>
    <t>40.563,72</t>
  </si>
  <si>
    <t>38.872,83</t>
  </si>
  <si>
    <t>38.817,04</t>
  </si>
  <si>
    <t>39.307,63</t>
  </si>
  <si>
    <t>35.531,28</t>
  </si>
  <si>
    <t>Transferências Correntes</t>
  </si>
  <si>
    <t>7.547.479,20</t>
  </si>
  <si>
    <t>11.745.635,91</t>
  </si>
  <si>
    <t>8.201.514,12</t>
  </si>
  <si>
    <t>8.158.190,07</t>
  </si>
  <si>
    <t>8.365.469,47</t>
  </si>
  <si>
    <t>8.591.325,24</t>
  </si>
  <si>
    <t>107.737.326,85</t>
  </si>
  <si>
    <t>102.205.059,03</t>
  </si>
  <si>
    <t>9.071.928,57</t>
  </si>
  <si>
    <t>8.000.285,18</t>
  </si>
  <si>
    <t>11.871.804,74</t>
  </si>
  <si>
    <t>8.750.099,92</t>
  </si>
  <si>
    <t>7.517.785,02</t>
  </si>
  <si>
    <t>9.915.809,41</t>
  </si>
  <si>
    <t>Cota-Parte do FPM</t>
  </si>
  <si>
    <t>2.073.487,19</t>
  </si>
  <si>
    <t>3.091.729,54</t>
  </si>
  <si>
    <t>2.257.700,33</t>
  </si>
  <si>
    <t>2.959.272,70</t>
  </si>
  <si>
    <t>1.983.538,31</t>
  </si>
  <si>
    <t>2.073.639,00</t>
  </si>
  <si>
    <t>28.296.643,36</t>
  </si>
  <si>
    <t>25.861.825,58</t>
  </si>
  <si>
    <t>2.492.228,57</t>
  </si>
  <si>
    <t>2.155.390,73</t>
  </si>
  <si>
    <t>2.945.085,76</t>
  </si>
  <si>
    <t>2.354.690,03</t>
  </si>
  <si>
    <t>1.849.226,16</t>
  </si>
  <si>
    <t>2.060.655,04</t>
  </si>
  <si>
    <t>Cota-Parte do ICMS</t>
  </si>
  <si>
    <t>2.844.810,96</t>
  </si>
  <si>
    <t>3.699.286,25</t>
  </si>
  <si>
    <t>2.214.057,95</t>
  </si>
  <si>
    <t>2.467.027,23</t>
  </si>
  <si>
    <t>3.020.217,97</t>
  </si>
  <si>
    <t>2.371.936,50</t>
  </si>
  <si>
    <t>35.738.028,95</t>
  </si>
  <si>
    <t>28.012.287,51</t>
  </si>
  <si>
    <t>2.839.331,96</t>
  </si>
  <si>
    <t>2.810.856,27</t>
  </si>
  <si>
    <t>4.528.224,60</t>
  </si>
  <si>
    <t>3.282.359,42</t>
  </si>
  <si>
    <t>2.630.298,77</t>
  </si>
  <si>
    <t>3.029.621,07</t>
  </si>
  <si>
    <t>Cota-Parte do IPVA</t>
  </si>
  <si>
    <t>19.538,37</t>
  </si>
  <si>
    <t>546.966,17</t>
  </si>
  <si>
    <t>591.865,92</t>
  </si>
  <si>
    <t>232.360,96</t>
  </si>
  <si>
    <t>274.930,20</t>
  </si>
  <si>
    <t>736.655,10</t>
  </si>
  <si>
    <t>3.190.871,21</t>
  </si>
  <si>
    <t>2.904.733,75</t>
  </si>
  <si>
    <t>331.766,30</t>
  </si>
  <si>
    <t>166.807,47</t>
  </si>
  <si>
    <t>114.875,45</t>
  </si>
  <si>
    <t>111.479,57</t>
  </si>
  <si>
    <t>36.110,40</t>
  </si>
  <si>
    <t>27.515,30</t>
  </si>
  <si>
    <t>FONTE: GOVBR - Responsabilidade Fiscal, SECRETARIA DE MUNICÍPIO DA FAZENDA, 18/Nov/2021, 14h e 51m.</t>
  </si>
  <si>
    <t>Página 2 de 2</t>
  </si>
  <si>
    <t>Cota-Parte do ITR</t>
  </si>
  <si>
    <t>53.694,53</t>
  </si>
  <si>
    <t>49.855,79</t>
  </si>
  <si>
    <t>23.835,02</t>
  </si>
  <si>
    <t>11.026,25</t>
  </si>
  <si>
    <t>1.139,11</t>
  </si>
  <si>
    <t>2.446,31</t>
  </si>
  <si>
    <t>1.112.734,40</t>
  </si>
  <si>
    <t>920.400,00</t>
  </si>
  <si>
    <t>14.712,19</t>
  </si>
  <si>
    <t>7.165,49</t>
  </si>
  <si>
    <t>9.748,68</t>
  </si>
  <si>
    <t>9.908,47</t>
  </si>
  <si>
    <t>127.084,83</t>
  </si>
  <si>
    <t>802.117,73</t>
  </si>
  <si>
    <t>Transferências da LC 87/1996</t>
  </si>
  <si>
    <t>302.473,68</t>
  </si>
  <si>
    <t>163.489,31</t>
  </si>
  <si>
    <t>Transferências da LC 61/1989</t>
  </si>
  <si>
    <t>43.940,79</t>
  </si>
  <si>
    <t>55.370,51</t>
  </si>
  <si>
    <t>37.074,89</t>
  </si>
  <si>
    <t>29.226,38</t>
  </si>
  <si>
    <t>30.890,44</t>
  </si>
  <si>
    <t>35.005,30</t>
  </si>
  <si>
    <t>426.199,29</t>
  </si>
  <si>
    <t>364.667,51</t>
  </si>
  <si>
    <t>30.378,23</t>
  </si>
  <si>
    <t>31.689,29</t>
  </si>
  <si>
    <t>34.318,38</t>
  </si>
  <si>
    <t>27.385,54</t>
  </si>
  <si>
    <t>34.609,00</t>
  </si>
  <si>
    <t>36.310,54</t>
  </si>
  <si>
    <t>Transferências do FUNDEB</t>
  </si>
  <si>
    <t>1.789.644,71</t>
  </si>
  <si>
    <t>2.077.584,72</t>
  </si>
  <si>
    <t>2.345.321,30</t>
  </si>
  <si>
    <t>1.753.402,70</t>
  </si>
  <si>
    <t>2.159.400,30</t>
  </si>
  <si>
    <t>2.318.104,75</t>
  </si>
  <si>
    <t>25.684.655,05</t>
  </si>
  <si>
    <t>25.354.431,00</t>
  </si>
  <si>
    <t>2.297.773,87</t>
  </si>
  <si>
    <t>1.991.614,72</t>
  </si>
  <si>
    <t>3.016.265,19</t>
  </si>
  <si>
    <t>1.951.480,05</t>
  </si>
  <si>
    <t>1.857.880,01</t>
  </si>
  <si>
    <t>2.126.182,73</t>
  </si>
  <si>
    <t>Outras Transferências Correntes</t>
  </si>
  <si>
    <t>722.362,65</t>
  </si>
  <si>
    <t>1.922.369,25</t>
  </si>
  <si>
    <t>731.658,71</t>
  </si>
  <si>
    <t>705.873,85</t>
  </si>
  <si>
    <t>895.353,14</t>
  </si>
  <si>
    <t>1.053.538,28</t>
  </si>
  <si>
    <t>12.985.720,91</t>
  </si>
  <si>
    <t>18.623.224,37</t>
  </si>
  <si>
    <t>1.065.737,45</t>
  </si>
  <si>
    <t>836.761,21</t>
  </si>
  <si>
    <t>1.223.286,68</t>
  </si>
  <si>
    <t>1.012.796,84</t>
  </si>
  <si>
    <t>982.575,85</t>
  </si>
  <si>
    <t>1.833.407,00</t>
  </si>
  <si>
    <t>Outras Receitas Correntes</t>
  </si>
  <si>
    <t>147.828,07</t>
  </si>
  <si>
    <t>233.519,80</t>
  </si>
  <si>
    <t>117.275,19</t>
  </si>
  <si>
    <t>127.602,89</t>
  </si>
  <si>
    <t>161.018,81</t>
  </si>
  <si>
    <t>181.636,82</t>
  </si>
  <si>
    <t>2.267.571,05</t>
  </si>
  <si>
    <t>6.877.380,05</t>
  </si>
  <si>
    <t>161.221,45</t>
  </si>
  <si>
    <t>187.340,37</t>
  </si>
  <si>
    <t>173.839,35</t>
  </si>
  <si>
    <t>196.131,23</t>
  </si>
  <si>
    <t>209.192,38</t>
  </si>
  <si>
    <t>370.964,69</t>
  </si>
  <si>
    <t>DEDUÇÕES (II)</t>
  </si>
  <si>
    <t>1.335.580,83</t>
  </si>
  <si>
    <t>2.203.605,55</t>
  </si>
  <si>
    <t>1.471.339,13</t>
  </si>
  <si>
    <t>1.527.577,46</t>
  </si>
  <si>
    <t>1.515.232,09</t>
  </si>
  <si>
    <t>1.496.017,03</t>
  </si>
  <si>
    <t>18.923.788,38</t>
  </si>
  <si>
    <t>15.149.401,00</t>
  </si>
  <si>
    <t>1.577.053,77</t>
  </si>
  <si>
    <t>1.470.234,42</t>
  </si>
  <si>
    <t>1.746.486,43</t>
  </si>
  <si>
    <t>1.588.592,22</t>
  </si>
  <si>
    <t>1.371.132,71</t>
  </si>
  <si>
    <t>1.620.936,74</t>
  </si>
  <si>
    <t>Contribuição do Servidor para Plano de Previdência</t>
  </si>
  <si>
    <t>284.671,03</t>
  </si>
  <si>
    <t>812.475,06</t>
  </si>
  <si>
    <t>397.457,07</t>
  </si>
  <si>
    <t>397.166,94</t>
  </si>
  <si>
    <t>419.290,91</t>
  </si>
  <si>
    <t>416.933,47</t>
  </si>
  <si>
    <t>5.075.995,16</t>
  </si>
  <si>
    <t>3.941.823,91</t>
  </si>
  <si>
    <t>392.131,53</t>
  </si>
  <si>
    <t>392.496,57</t>
  </si>
  <si>
    <t>390.709,29</t>
  </si>
  <si>
    <t>390.052,94</t>
  </si>
  <si>
    <t>394.292,19</t>
  </si>
  <si>
    <t>388.318,16</t>
  </si>
  <si>
    <t>Compensação Financ. entre Regimes Previdência</t>
  </si>
  <si>
    <t>43.815,43</t>
  </si>
  <si>
    <t>86.192,92</t>
  </si>
  <si>
    <t>1.437,94</t>
  </si>
  <si>
    <t>43.149,19</t>
  </si>
  <si>
    <t>472.332,86</t>
  </si>
  <si>
    <t>21.492,44</t>
  </si>
  <si>
    <t>43.238,81</t>
  </si>
  <si>
    <t>43.356,01</t>
  </si>
  <si>
    <t>42.431,42</t>
  </si>
  <si>
    <t>41.374,67</t>
  </si>
  <si>
    <t>Dedução de Receita para Formação do FUNDEB</t>
  </si>
  <si>
    <t>1.007.094,37</t>
  </si>
  <si>
    <t>1.304.937,57</t>
  </si>
  <si>
    <t>1.072.444,12</t>
  </si>
  <si>
    <t>1.128.972,58</t>
  </si>
  <si>
    <t>1.052.791,99</t>
  </si>
  <si>
    <t>1.035.934,37</t>
  </si>
  <si>
    <t>13.375.460,36</t>
  </si>
  <si>
    <t>11.186.084,65</t>
  </si>
  <si>
    <t>1.141.683,43</t>
  </si>
  <si>
    <t>1.034.381,84</t>
  </si>
  <si>
    <t>1.313.345,72</t>
  </si>
  <si>
    <t>1.157.164,61</t>
  </si>
  <si>
    <t>935.465,85</t>
  </si>
  <si>
    <t>1.191.243,91</t>
  </si>
  <si>
    <t>RECEITA CORRENTE LÍQUIDA (III) = (I-II)</t>
  </si>
  <si>
    <t>8.047.142,16</t>
  </si>
  <si>
    <t>12.781.742,90</t>
  </si>
  <si>
    <t>9.700.180,53</t>
  </si>
  <si>
    <t>8.367.911,70</t>
  </si>
  <si>
    <t>8.552.096,61</t>
  </si>
  <si>
    <t>9.169.419,75</t>
  </si>
  <si>
    <t>114.238.590,06</t>
  </si>
  <si>
    <t>124.409.229,25</t>
  </si>
  <si>
    <t>9.497.009,60</t>
  </si>
  <si>
    <t>8.434.545,20</t>
  </si>
  <si>
    <t>11.760.783,59</t>
  </si>
  <si>
    <t>8.978.372,91</t>
  </si>
  <si>
    <t>8.163.953,03</t>
  </si>
  <si>
    <t>10.785.432,08</t>
  </si>
  <si>
    <t>(-) Transferências obrigatórias da União relativas às emendas individuais (art. 166-A, § 1º, da CF) (IV)</t>
  </si>
  <si>
    <t>RECEITA CORRENTE LÍQUIDA AJUSTADA PARA CÁLCULO DOS LIMITES DE ENDIVIDAMENTO (V) = (III - IV)</t>
  </si>
  <si>
    <t>(-) Transferências obrigatórias da União relativas às emendas de bancada (art. 166, § 16, da CF) (VI)</t>
  </si>
  <si>
    <t>350.000,00</t>
  </si>
  <si>
    <t>RECEITA CORRENTE LÍQUIDA AJUSTADA PARA  CÁLCULO DOS LIMITES DA DESPESA COM PESSOAL (VII) = (V - VI)</t>
  </si>
  <si>
    <t>113.888.590,06</t>
  </si>
  <si>
    <t>8.628.372,91</t>
  </si>
  <si>
    <t>Página 1 de 5</t>
  </si>
  <si>
    <t>RELATÓRIO RESUMIDO DA EXECUÇÃO ORÇAMENTÁRIA</t>
  </si>
  <si>
    <t>DEMONSTRATIVO DAS RECEITAS E DESPESAS PREVIDENCIÁRIAS E DAS RECEITAS E DESPESAS ASSOCIADAS ÀS PENSÕES E INATIVOS MILITARES</t>
  </si>
  <si>
    <t>ORÇAMENTO FISCAL E DA SEGURIDADE SOCIAL</t>
  </si>
  <si>
    <t>RREO - Anexo 4 (LRF, Art. 53, inciso II)</t>
  </si>
  <si>
    <t>REGIME PRÓPRIO DE PREVIDÊNCIA DOS SERVIDORES - RPPS</t>
  </si>
  <si>
    <t>FUNDO EM CAPITALIZAÇÃO (PLANO PREVIDENCIÁRIO)</t>
  </si>
  <si>
    <t>RECEITAS PREVIDENCIÁRIAS - RPPS (FUNDO EM CAPITALIZAÇÃO)</t>
  </si>
  <si>
    <t>PREVISÃO 
ATUALIZADA
(a)</t>
  </si>
  <si>
    <t>RECEITAS REALIZADAS
Até o Bimestre
(b)</t>
  </si>
  <si>
    <t>25.237.106,94</t>
  </si>
  <si>
    <t>24.636.695,29</t>
  </si>
  <si>
    <t>Receita de Contribuições dos Segurados</t>
  </si>
  <si>
    <t>3.978.849,07</t>
  </si>
  <si>
    <t>Ativo</t>
  </si>
  <si>
    <t>3.914.085,33</t>
  </si>
  <si>
    <t>3.023.139,58</t>
  </si>
  <si>
    <t>Inativo</t>
  </si>
  <si>
    <t>20.075,63</t>
  </si>
  <si>
    <t>816.597,89</t>
  </si>
  <si>
    <t>Pensionista</t>
  </si>
  <si>
    <t>7.662,95</t>
  </si>
  <si>
    <t>139.111,60</t>
  </si>
  <si>
    <t>Receita de Contribuições Patronais</t>
  </si>
  <si>
    <t>6.266.399,10</t>
  </si>
  <si>
    <t>8.254.078,29</t>
  </si>
  <si>
    <t>6.217.865,80</t>
  </si>
  <si>
    <t>6.737.995,50</t>
  </si>
  <si>
    <t>34.754,23</t>
  </si>
  <si>
    <t>1.310.507,11</t>
  </si>
  <si>
    <t>13.779,07</t>
  </si>
  <si>
    <t>205.575,68</t>
  </si>
  <si>
    <t>5.623.474,12</t>
  </si>
  <si>
    <t>460.659,32</t>
  </si>
  <si>
    <t>Receitas Imobiliárias</t>
  </si>
  <si>
    <t>Receitas de Valores Mobiliários</t>
  </si>
  <si>
    <t>9.405.409,81</t>
  </si>
  <si>
    <t>11.943.108,61</t>
  </si>
  <si>
    <t>Compensação Financeira entre os regimes</t>
  </si>
  <si>
    <t>10.000,00</t>
  </si>
  <si>
    <t>330.466,52</t>
  </si>
  <si>
    <t>Aportes Periódicos para Amortização de Déficit Atuarial do RPPS (II)¹</t>
  </si>
  <si>
    <t>9.386.385,94</t>
  </si>
  <si>
    <t>11.612.642,09</t>
  </si>
  <si>
    <t>Demais Receitas Correntes</t>
  </si>
  <si>
    <t>9.023,87</t>
  </si>
  <si>
    <t>RECEITAS DE CAPITAL (III)</t>
  </si>
  <si>
    <t>Alienação de Bens, Direitos e Ativos</t>
  </si>
  <si>
    <t>Amortização de Empréstimos</t>
  </si>
  <si>
    <t>Outras Receitas de Capital</t>
  </si>
  <si>
    <t>TOTAL DAS RECEITAS DO FUNDO EM CAPITALIZAÇÃO - (IV) = (I+III-II)</t>
  </si>
  <si>
    <t>15.850.721,00</t>
  </si>
  <si>
    <t>13.024.053,20</t>
  </si>
  <si>
    <t>DESPESAS PREVIDENCIÁRIAS - RPPS (FUNDO EM CAPITALIZAÇÃO)</t>
  </si>
  <si>
    <t>DOTAÇÃO ATUALIZADA
(c)</t>
  </si>
  <si>
    <t>DESPESAS 
EMPENHADAS
Até o Bimestre
(d)</t>
  </si>
  <si>
    <t>DESPESAS 
LIQUIDADAS
Até o Bimestre
(e)</t>
  </si>
  <si>
    <t>DESPESAS 
PAGAS
Até o Bimestre
(f)</t>
  </si>
  <si>
    <t>INSCRITAS EM RESTOS A
PAGAR NÃO PROCESSADOS
No Exercício
(g)</t>
  </si>
  <si>
    <t>Benefícios</t>
  </si>
  <si>
    <t>22.735.580,90</t>
  </si>
  <si>
    <t>18.626.473,26</t>
  </si>
  <si>
    <t>18.623.799,64</t>
  </si>
  <si>
    <t>Aposentadorias</t>
  </si>
  <si>
    <t>20.130.620,30</t>
  </si>
  <si>
    <t>16.480.597,43</t>
  </si>
  <si>
    <t>16.479.909,10</t>
  </si>
  <si>
    <t>Pensões por Morte</t>
  </si>
  <si>
    <t>2.604.960,60</t>
  </si>
  <si>
    <t>2.145.875,83</t>
  </si>
  <si>
    <t>2.143.890,54</t>
  </si>
  <si>
    <t>Outras Despesas Previdenciárias</t>
  </si>
  <si>
    <t>Demais Despesas Previdenciárias</t>
  </si>
  <si>
    <t>TOTAL DAS DESPESAS DO FUNDO EM CAPITALIZAÇÃO (V)</t>
  </si>
  <si>
    <t>RESULTADO PREVIDENCIÁRIO - FUNDO EM CAPITALIZAÇÃO (VI) = (IV – V)²</t>
  </si>
  <si>
    <t>(6.884.859,90)</t>
  </si>
  <si>
    <t>(5.602.420,06)</t>
  </si>
  <si>
    <t>(5.599.746,44)</t>
  </si>
  <si>
    <t>FONTE: GOVBR - Responsabilidade Fiscal, SECRETARIA DE MUNICÍPIO DA FAZENDA, 18/Nov/2021, 15h e 01m.</t>
  </si>
  <si>
    <t>Página 2 de 5</t>
  </si>
  <si>
    <t>RECURSOS RPPS ARRECADADOS EM EXERCÍCIOS ANTERIORES</t>
  </si>
  <si>
    <t>PREVISÃO ORÇAMENTÁRIA</t>
  </si>
  <si>
    <t>VALOR</t>
  </si>
  <si>
    <t>RESERVA ORÇAMENTÁRIA DO RPPS</t>
  </si>
  <si>
    <t>2.985.119,66</t>
  </si>
  <si>
    <t>APORTES DE RECURSOS PARA O FUNDO EM CAPITALIZAÇÃO DO RPPS</t>
  </si>
  <si>
    <t>APORTES REALIZADOS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</si>
  <si>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</si>
  <si>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</si>
  <si>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</si>
  <si>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</si>
  <si>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BENS E DIREITOS DO RPPS (FUNDO EM CAPITALIZAÇÃO)</t>
  </si>
  <si>
    <t>SALDO ATUAL</t>
  </si>
  <si>
    <t>Caixa e Equivalentes de Caixa</t>
  </si>
  <si>
    <t>(4.551.834,70)</t>
  </si>
  <si>
    <t>Investimentos e Aplicações</t>
  </si>
  <si>
    <t>37.473.087,70</t>
  </si>
  <si>
    <t>Outros Bens e Direitos</t>
  </si>
  <si>
    <t>Página 3 de 5</t>
  </si>
  <si>
    <t>FUNDO EM REPARTIÇÃO (PLANO FINANCEIRO)</t>
  </si>
  <si>
    <t>RECEITAS PREVIDENCIÁRIAS - RPPS (FUNDO EM REPARTIÇÃO)</t>
  </si>
  <si>
    <t>RECEITAS CORRENTES (VII)</t>
  </si>
  <si>
    <t>Compensação Previdenciária entre os regimes</t>
  </si>
  <si>
    <t>RECEITAS DE CAPITAL (VIII)</t>
  </si>
  <si>
    <t>TOTAL DAS RECEITAS DO FUNDO EM REPARTIÇÃO  (IX) = (VII + VIII)</t>
  </si>
  <si>
    <t>DESPESAS PREVIDENCIÁRIAS - RPPS (FUNDO EM REPARTIÇÃO)</t>
  </si>
  <si>
    <t>DESPESAS 
PAGAS
Até o Bimestre
(e)</t>
  </si>
  <si>
    <t>TOTAL DAS DESPESAS DO FUNDO EM REPARTIÇÃO (X)</t>
  </si>
  <si>
    <t>RESULTADO PREVIDENCIÁRIO - FUNDO EM REPARTIÇÃO (XI) = (IX – X)²</t>
  </si>
  <si>
    <t>Página 4 de 5</t>
  </si>
  <si>
    <t>APORTES DE RECURSOS PARA O FUNDO EM REPARTIÇÃO DO RPPS</t>
  </si>
  <si>
    <t>Recursos para Cobertura de Insuficiências Financeiras</t>
  </si>
  <si>
    <t>Recursos para Formação de Reserva</t>
  </si>
  <si>
    <t>ADMINISTRAÇÃO DO REGIME PRÓPRIO DE PREVIDÊNICA DOS SERVIDORES - RPPS</t>
  </si>
  <si>
    <t>RECEITAS DA ADMINISTRAÇÃO - RPPS</t>
  </si>
  <si>
    <t>PREVISÃO ATUALIZADA
(a)</t>
  </si>
  <si>
    <t>135.493,62</t>
  </si>
  <si>
    <t>143.950,74</t>
  </si>
  <si>
    <t>TOTAL DAS RECEITAS DA ADMINISTRAÇÃO RPPS (XII)</t>
  </si>
  <si>
    <t>DESPESAS DA ADMINISTRAÇÃO - RPPS</t>
  </si>
  <si>
    <t>DOTAÇÃO 
ATUALIZADA
(c)</t>
  </si>
  <si>
    <t>Despesas Correntes (XIII)</t>
  </si>
  <si>
    <t>71.520,00</t>
  </si>
  <si>
    <t>28.590,20</t>
  </si>
  <si>
    <t>17.208,50</t>
  </si>
  <si>
    <t>16.417,65</t>
  </si>
  <si>
    <t>Pessoal e Encargos Sociais</t>
  </si>
  <si>
    <t>Demais Despesas Correntes</t>
  </si>
  <si>
    <t>71.510,00</t>
  </si>
  <si>
    <t>Despesas de Capital (XIV)</t>
  </si>
  <si>
    <t>18.480,00</t>
  </si>
  <si>
    <t>TOTAL DAS DESPESAS DA ADMINISTRAÇÃO RPPS (XV) = (XIII + XIV)</t>
  </si>
  <si>
    <t>90.000,00</t>
  </si>
  <si>
    <t>RESULTADO DA ADMINISTRAÇÃO RPPS (XVI) = (XII – XV)²</t>
  </si>
  <si>
    <t>45.493,62</t>
  </si>
  <si>
    <t>115.360,54</t>
  </si>
  <si>
    <t>126.742,24</t>
  </si>
  <si>
    <t>127.533,09</t>
  </si>
  <si>
    <t>Página 5 de 5</t>
  </si>
  <si>
    <t>BENEFICIOS PREVIDENCIÁRIOS MANTIDOS PELO TESOURO</t>
  </si>
  <si>
    <t>RECEITAS PREVIDENCIÁRIAS (BENEFÍCIOS MANTIDOS PELO TESOURO)</t>
  </si>
  <si>
    <t>Contribuições dos Servidores</t>
  </si>
  <si>
    <t>Demais receitas Previdenciárias</t>
  </si>
  <si>
    <t>TOTAL DAS RECEITAS (BENEFÍCIOS MANTIDOS PELO TESOURO) (XVII)</t>
  </si>
  <si>
    <t>DESPESAS PREVIDENCIARIAS (BENEFÍCIOS MANTIDOS PELO TESOURO)</t>
  </si>
  <si>
    <t>Pensões</t>
  </si>
  <si>
    <t>TOTAL DAS DESPESAS (BENEFÍCIOS MANTIDOS PELO TESOURO) (XVIII)</t>
  </si>
  <si>
    <t>RESULTADO DOS BENEFÍCIOS MANTIDOS PELO TESOURO (XIX) = (XVII - XVIII)²</t>
  </si>
  <si>
    <t>1 Como a Portaria MPS 746/2011 determina que os recursos provenientes desses aportes devem permanecer aplicados, no mínimo, por 5 (cinco) anos, essa receita não deverá compor o total das receitas previdenciárias do período de apuração
2 O resultado previdenciário será apresentada por meio da diferença entre previsão da receita e a dotação da despesa e entre a receita realizada e a despesa liquidada (do 1º ao 5º bimestre) e a despesa empenhada (no 6º bimestre)</t>
  </si>
  <si>
    <t>Demonstrativo dos Resultados Primário e Nominal</t>
  </si>
  <si>
    <t>RREO - ANEXO VI(LRF, art. 53, inciso III)</t>
  </si>
  <si>
    <t>ACIMA DA LINHA</t>
  </si>
  <si>
    <t>RECEITAS PRIMÁRIAS</t>
  </si>
  <si>
    <t>Até o Bimestre/2021</t>
  </si>
  <si>
    <t>RECEITAS CORRENTES(I)</t>
  </si>
  <si>
    <t>128.372.545,60</t>
  </si>
  <si>
    <t>97.730.878,58</t>
  </si>
  <si>
    <t>11.081.400,80</t>
  </si>
  <si>
    <t>2.541.607,58</t>
  </si>
  <si>
    <t>3.491.233,41</t>
  </si>
  <si>
    <t>1.721.629,08</t>
  </si>
  <si>
    <t>2.820.741,81</t>
  </si>
  <si>
    <t>Outros Impostos, Taxas, e Contribuições de Melhoria</t>
  </si>
  <si>
    <t>506.188,92</t>
  </si>
  <si>
    <t>6.221.571,09</t>
  </si>
  <si>
    <t>742.221,45</t>
  </si>
  <si>
    <t>Aplicações Financeiras (II)</t>
  </si>
  <si>
    <t>726.340,24</t>
  </si>
  <si>
    <t>15.881,21</t>
  </si>
  <si>
    <t>91.018.974,38</t>
  </si>
  <si>
    <t>77.380.783,32</t>
  </si>
  <si>
    <t>21.148.856,54</t>
  </si>
  <si>
    <t>18.718.246,38</t>
  </si>
  <si>
    <t>22.409.830,01</t>
  </si>
  <si>
    <t>23.335.771,45</t>
  </si>
  <si>
    <t>2.323.787,00</t>
  </si>
  <si>
    <t>2.099.493,12</t>
  </si>
  <si>
    <t>736.320,00</t>
  </si>
  <si>
    <t>807.347,40</t>
  </si>
  <si>
    <t>130.791,45</t>
  </si>
  <si>
    <t>291.734,01</t>
  </si>
  <si>
    <t>261.510,34</t>
  </si>
  <si>
    <t>21.817.425,62</t>
  </si>
  <si>
    <t>10.340.989,01</t>
  </si>
  <si>
    <t>7.756.183,11</t>
  </si>
  <si>
    <t>2.304.901,92</t>
  </si>
  <si>
    <t>Outras Receitas Financeiras (III)</t>
  </si>
  <si>
    <t>697.164,51</t>
  </si>
  <si>
    <t>20.159,41</t>
  </si>
  <si>
    <t>Receitas Correntes Restantes</t>
  </si>
  <si>
    <t>7.059.018,60</t>
  </si>
  <si>
    <t>2.284.742,51</t>
  </si>
  <si>
    <t>RECEITAS PRIMÁRIAS CORRENTES (IV) = (I - II - III)</t>
  </si>
  <si>
    <t>121.411.472,33</t>
  </si>
  <si>
    <t>96.984.378,93</t>
  </si>
  <si>
    <t>RECEITAS DE CAPITAL (V)</t>
  </si>
  <si>
    <t>1.691.289,79</t>
  </si>
  <si>
    <t>848.353,39</t>
  </si>
  <si>
    <t>Operações de Crédito (VI)</t>
  </si>
  <si>
    <t>Amortização de Empréstimos (VII)</t>
  </si>
  <si>
    <t>60.000,00</t>
  </si>
  <si>
    <t>527,70</t>
  </si>
  <si>
    <t>Alienação de Bens</t>
  </si>
  <si>
    <t>Receitas de Alienação de Investimentos Temporários (VIII)</t>
  </si>
  <si>
    <t>Receitas de Alienação de Investimentos Permanentes (IX)</t>
  </si>
  <si>
    <t>Outras Alienações de Bens</t>
  </si>
  <si>
    <t>Transferências de Capital</t>
  </si>
  <si>
    <t>1.618.818,66</t>
  </si>
  <si>
    <t>818.477,84</t>
  </si>
  <si>
    <t>Convênios</t>
  </si>
  <si>
    <t>1.368.818,66</t>
  </si>
  <si>
    <t>768.477,84</t>
  </si>
  <si>
    <t>Outras Transferências de Capital</t>
  </si>
  <si>
    <t>250.000,00</t>
  </si>
  <si>
    <t>50.000,00</t>
  </si>
  <si>
    <t>12.471,13</t>
  </si>
  <si>
    <t>29.347,85</t>
  </si>
  <si>
    <t>Outras Receitas de Capital Não Primárias (X)</t>
  </si>
  <si>
    <t>Outras Receitas de Capital Primárias</t>
  </si>
  <si>
    <t>RECEITAS PRIMÁRIAS DE CAPITAL (XI) = (V - VI - VII - VIII - IX - X)</t>
  </si>
  <si>
    <t>1.631.289,79</t>
  </si>
  <si>
    <t>847.825,69</t>
  </si>
  <si>
    <t>RECEITA PRIMÁRIA TOTAL (XII) = (IV + XI)</t>
  </si>
  <si>
    <t>123.042.762,12</t>
  </si>
  <si>
    <t>97.832.204,62</t>
  </si>
  <si>
    <t>DESPESAS PRIMÁRIAS</t>
  </si>
  <si>
    <t>Restos a Pagar Processados Pagos</t>
  </si>
  <si>
    <t>Restos a Pagar não Processados</t>
  </si>
  <si>
    <t>Liquidados</t>
  </si>
  <si>
    <t>Pagos (c)</t>
  </si>
  <si>
    <t>DESPESAS CORRENTES (XIII)</t>
  </si>
  <si>
    <t>118.143.790,58</t>
  </si>
  <si>
    <t>91.557.069,42</t>
  </si>
  <si>
    <t>87.534.475,41</t>
  </si>
  <si>
    <t>84.427.971,53</t>
  </si>
  <si>
    <t>1.875.987,53</t>
  </si>
  <si>
    <t>107.829,35</t>
  </si>
  <si>
    <t>69.001,05</t>
  </si>
  <si>
    <t>77.452.895,57</t>
  </si>
  <si>
    <t>57.619.886,91</t>
  </si>
  <si>
    <t>57.562.616,43</t>
  </si>
  <si>
    <t>57.327.636,75</t>
  </si>
  <si>
    <t>223.114,49</t>
  </si>
  <si>
    <t>Juros e Encargos da Dívida (XIV)</t>
  </si>
  <si>
    <t>76.524,60</t>
  </si>
  <si>
    <t>66.949,44</t>
  </si>
  <si>
    <t>55.791,20</t>
  </si>
  <si>
    <t>44.632,96</t>
  </si>
  <si>
    <t>Outras Despesas Correntes</t>
  </si>
  <si>
    <t>40.614.370,41</t>
  </si>
  <si>
    <t>33.870.233,07</t>
  </si>
  <si>
    <t>29.916.067,78</t>
  </si>
  <si>
    <t>27.055.701,82</t>
  </si>
  <si>
    <t>1.652.873,04</t>
  </si>
  <si>
    <t>DESPESAS PRIMÁRIAS CORRENTES (XV) = (XIII - XIV)</t>
  </si>
  <si>
    <t>118.067.265,98</t>
  </si>
  <si>
    <t>91.490.119,98</t>
  </si>
  <si>
    <t>87.478.684,21</t>
  </si>
  <si>
    <t>84.383.338,57</t>
  </si>
  <si>
    <t>DESPESAS DE CAPITAL (XVI)</t>
  </si>
  <si>
    <t>7.468.517,85</t>
  </si>
  <si>
    <t>1.523.678,68</t>
  </si>
  <si>
    <t>1.090.548,67</t>
  </si>
  <si>
    <t>1.059.004,79</t>
  </si>
  <si>
    <t>275.377,25</t>
  </si>
  <si>
    <t>1.110.032,59</t>
  </si>
  <si>
    <t>1.060.515,13</t>
  </si>
  <si>
    <t>7.456.113,47</t>
  </si>
  <si>
    <t>862.445,29</t>
  </si>
  <si>
    <t>Inversões Financeiras</t>
  </si>
  <si>
    <t>11.583,00</t>
  </si>
  <si>
    <t>Concessão de Empréstimos e Financiamentos (XVII)</t>
  </si>
  <si>
    <t>101,00</t>
  </si>
  <si>
    <t>Aquisição de Título de Capital já Integralizado (XVIII)</t>
  </si>
  <si>
    <t>Aquisição de Título de Crédito (XIX)</t>
  </si>
  <si>
    <t>Demais Inversões Financeiras</t>
  </si>
  <si>
    <t>11.482,00</t>
  </si>
  <si>
    <t>Amortização da Dívida (XX)</t>
  </si>
  <si>
    <t>821,38</t>
  </si>
  <si>
    <t>247.587,30</t>
  </si>
  <si>
    <t>198.069,84</t>
  </si>
  <si>
    <t>DESPESAS PRIMÁRIAS DE CAPITAL (XXI) = (XVI - XVII - XVIII - XIX - XX)</t>
  </si>
  <si>
    <t>7.467.595,47</t>
  </si>
  <si>
    <t>FONTE: GOVBR - Responsabilidade Fiscal, SECRETARIA DE MUNICÍPIO DA FAZENDA, 18/Nov/2021, 15h e 27m.</t>
  </si>
  <si>
    <t>RESERVA DE CONTINGÊNCIA (XXII)</t>
  </si>
  <si>
    <t>8.984,18</t>
  </si>
  <si>
    <t>DESPESA PRIMÁRIA TOTAL (XXIII) = (XV + XXI + XXII)</t>
  </si>
  <si>
    <t>125.543.845,63</t>
  </si>
  <si>
    <t>93.013.798,66</t>
  </si>
  <si>
    <t>88.569.232,88</t>
  </si>
  <si>
    <t>85.442.343,36</t>
  </si>
  <si>
    <t>2.151.364,78</t>
  </si>
  <si>
    <t>970.274,64</t>
  </si>
  <si>
    <t>931.446,34</t>
  </si>
  <si>
    <t>RESULTADO PRIMÁRIO - Acima da Linha (XXIV) = [XIIa - (XXIIIa +XXIIIb + XXIIIc)]</t>
  </si>
  <si>
    <t>9.307.050,14</t>
  </si>
  <si>
    <t>META FISCAL PARA O RESULTADO PRIMÁRIO</t>
  </si>
  <si>
    <t>VALOR CORRENTE</t>
  </si>
  <si>
    <t>Meta fixada no Anexo de Metas Fiscais da LDO para o exercício de referência</t>
  </si>
  <si>
    <t>126.749.255,05</t>
  </si>
  <si>
    <t>JUROS NOMINAIS</t>
  </si>
  <si>
    <t>VALOR INCORRIDO</t>
  </si>
  <si>
    <t>Juros, Encargos e Variações Monetárias Ativos (XXV)</t>
  </si>
  <si>
    <t>299.983,75</t>
  </si>
  <si>
    <t>Juros, Encargos e Variações Monetárias Passivos (XXVI)</t>
  </si>
  <si>
    <t>RESULTADO NOMINAL - Acima da Linha (XXVII) =  XXIV + (XXV - XXVI)</t>
  </si>
  <si>
    <t>9.551.242,69</t>
  </si>
  <si>
    <t>META FISCAL PARA O RESULTADO NOMINAL</t>
  </si>
  <si>
    <t>5.797.498,65</t>
  </si>
  <si>
    <t>ABAIXO DA LINHA</t>
  </si>
  <si>
    <t>CÁLCULO DO RESULTADO NOMINAL</t>
  </si>
  <si>
    <t>Em 31/Dez/2020</t>
  </si>
  <si>
    <t>Até o 5º Bimestre</t>
  </si>
  <si>
    <t>DÍVIDA CONSOLIDADA (XXVIII)</t>
  </si>
  <si>
    <t>1.674.324,20</t>
  </si>
  <si>
    <t>1.578.444,06</t>
  </si>
  <si>
    <t>DEDUÇÕES (XXIX)</t>
  </si>
  <si>
    <t>636.417,72</t>
  </si>
  <si>
    <t>640.666,69</t>
  </si>
  <si>
    <t>Disponibilidade de Caixa</t>
  </si>
  <si>
    <t>Disponibilidade de Caixa Bruta</t>
  </si>
  <si>
    <t>17.546.881,59</t>
  </si>
  <si>
    <t>19.803.492,49</t>
  </si>
  <si>
    <t>(-) Restos a Pagar Processados (XXX)</t>
  </si>
  <si>
    <t>26.650.439,28</t>
  </si>
  <si>
    <t>20.109.854,16</t>
  </si>
  <si>
    <t>Demais Haveres Financeiros</t>
  </si>
  <si>
    <t>DÍVIDA CONSOLIDADA LÍQUIDA (XXXI) = (XXVIII - XXIX)</t>
  </si>
  <si>
    <t>1.037.906,48</t>
  </si>
  <si>
    <t>937.777,37</t>
  </si>
  <si>
    <t>RESULTADO NOMINAL - Abaixo da Linha (XXXII) = (XXXIa - XXXIb)</t>
  </si>
  <si>
    <t>100.129,11</t>
  </si>
  <si>
    <t>AJUSTE METODOLÓGICO</t>
  </si>
  <si>
    <t>VARIAÇÃO SALDO RPP = (XXXIII) = (XXXa - XXXb)</t>
  </si>
  <si>
    <t>6.540.585,12</t>
  </si>
  <si>
    <t>RECEITA DE ALIENAÇÃO DE INVESTIMENTOS PERMANENTES (IX)</t>
  </si>
  <si>
    <t>PASSIVOS RECONHECIDOS NA DC (XXXIV)</t>
  </si>
  <si>
    <t>VARIAÇÃO CAMBIAL (XXXV)</t>
  </si>
  <si>
    <t>PAGAMENTO DE PRECATÓRIOS INTEGRANTES DA DC (XXXVI)</t>
  </si>
  <si>
    <t>AJUSTES RELATIVOS AO RPPS (XXXVII)</t>
  </si>
  <si>
    <t>OUTROS AJUSTES (XXXVIII)</t>
  </si>
  <si>
    <t>RESULTADO NOMINAL AJUSTADO - Abaixo da Linha (XXXIX) = (XXXII - XXXIII - IX + XXXIV + XXXV - XXXVI + XXXVII + XXXVIII)</t>
  </si>
  <si>
    <t>-6.440.456,01</t>
  </si>
  <si>
    <t>RESULTADO PRIMÁRIO - Abaixo da Linha (XL) = XXXIX - (XXV - XXVI)</t>
  </si>
  <si>
    <t>-6.684.648,56</t>
  </si>
  <si>
    <t>INFORMAÇÕES ADICIONAIS</t>
  </si>
  <si>
    <t>SALDO DE EXERCÍCIOS ANTERIORES</t>
  </si>
  <si>
    <t>6.768.730,69</t>
  </si>
  <si>
    <t>Recursos Arrecadados em Exercícios Anteriores - RPPS</t>
  </si>
  <si>
    <t>Superávit Financeiro Utilizado para Abertura e Reabertura de Créditos Adicionais</t>
  </si>
  <si>
    <t>Demonstrativo dos Restos a Pagar por Poder e Órgão</t>
  </si>
  <si>
    <t>RREO - ANEXO 7 (LRF, art.53, inciso V)</t>
  </si>
  <si>
    <t>PODER/ÓRGÃO</t>
  </si>
  <si>
    <t>RESTOS A PAGAR NÃO PROCESSADOS</t>
  </si>
  <si>
    <t>Saldo Total</t>
  </si>
  <si>
    <t>Inscritos</t>
  </si>
  <si>
    <t>Pagos</t>
  </si>
  <si>
    <t>Cancelados</t>
  </si>
  <si>
    <t>Em Exercícios</t>
  </si>
  <si>
    <t>Em 31 de</t>
  </si>
  <si>
    <t>Anteriores</t>
  </si>
  <si>
    <t>dezembro de 2020</t>
  </si>
  <si>
    <t>(c)</t>
  </si>
  <si>
    <t>e=(a+b)-(c+d)</t>
  </si>
  <si>
    <t>(f)</t>
  </si>
  <si>
    <t>(g)</t>
  </si>
  <si>
    <t>(h)</t>
  </si>
  <si>
    <t>(i)</t>
  </si>
  <si>
    <t>(j)</t>
  </si>
  <si>
    <t>k=(f+g)-(i+j)</t>
  </si>
  <si>
    <t>L=(e+k)</t>
  </si>
  <si>
    <t>RESTOS A PAGAR(EXCETO INTRA-ORÇAMENTÁRIOS) (I)</t>
  </si>
  <si>
    <t>PODER EXECUTIVO</t>
  </si>
  <si>
    <t>PODER LEGISLATIVO</t>
  </si>
  <si>
    <t>CAMARA MUNICIPAL CACAPAVA DO SUL</t>
  </si>
  <si>
    <t>RESTOS A PAGAR(INTRA-ORÇAMENTÁRIOS) (II)</t>
  </si>
  <si>
    <t>TOTAL (III) = (I+II)</t>
  </si>
  <si>
    <t>DEMONSTRATIVO DAS RECEITAS E DESPESAS COM MANUTENÇÃO E DESENVOLVIMENTO DO ENSINO - MDE</t>
  </si>
  <si>
    <t>RREO - Anexo 8 (LDB,art. 72)</t>
  </si>
  <si>
    <t>RECEITA RESULTANTE DE IMPOSTOS (Arts. 212 e 212-A da Constituição Federal)</t>
  </si>
  <si>
    <t>RECEITA RESULTANTE DE IMPOSTOS</t>
  </si>
  <si>
    <t>1- RECEITA DE IMPOSTOS</t>
  </si>
  <si>
    <t>14.327.900,03</t>
  </si>
  <si>
    <t>10.575.211,88</t>
  </si>
  <si>
    <t>1.1- Receita Resultante do Imposto sobre a Propriedade Predial e Territorial Urbana – IPTU</t>
  </si>
  <si>
    <t>1.2- Receita Resultante do Imposto sobre Transmissão Inter Vivos – ITBI</t>
  </si>
  <si>
    <t>1.3- Receita Resultante do Imposto sobre Serviços de Qualquer Natureza – ISS</t>
  </si>
  <si>
    <t>1.4- Receita Resultante do Imposto de Renda Retido na Fonte – IRRF</t>
  </si>
  <si>
    <t>2- RECEITA DE TRANSFERÊNCIAS CONSTITUCIONAIS E LEGAIS</t>
  </si>
  <si>
    <t>58.063.914,35</t>
  </si>
  <si>
    <t>56.285.797,11</t>
  </si>
  <si>
    <t>2.1- Cota-Parte FPM</t>
  </si>
  <si>
    <t>23.131.426,63</t>
  </si>
  <si>
    <t>2.1.1- Parcela referente à CF, art. 159, I, alínea b</t>
  </si>
  <si>
    <t>23.564.845,20</t>
  </si>
  <si>
    <t>22.065.902,38</t>
  </si>
  <si>
    <t>2.1.2- Parcela referente à CF, art. 159, I, alíneas d e e</t>
  </si>
  <si>
    <t>2.296.980,38</t>
  </si>
  <si>
    <t>1.065.524,25</t>
  </si>
  <si>
    <t>2.2- Cota-Parte ICMS</t>
  </si>
  <si>
    <t>29.193.931,74</t>
  </si>
  <si>
    <t>2.3- Cota-Parte IPI-Exportação</t>
  </si>
  <si>
    <t>326.887,99</t>
  </si>
  <si>
    <t>2.4- Cota-Parte ITR</t>
  </si>
  <si>
    <t>1.009.184,08</t>
  </si>
  <si>
    <t>2.5- Cota-Parte IPVA</t>
  </si>
  <si>
    <t>2.624.366,67</t>
  </si>
  <si>
    <t>2.6- Cota-Parte IOF-Ouro</t>
  </si>
  <si>
    <t>2.7- Compensações Financeiras Provenientes de Impostos e Transferências Constitucionais</t>
  </si>
  <si>
    <t>3- TOTAL DA RECEITA RESULTANTE DE IMPOSTOS (1 + 2)</t>
  </si>
  <si>
    <t>72.391.814,38</t>
  </si>
  <si>
    <t>66.861.008,99</t>
  </si>
  <si>
    <t>4- TOTAL DESTINADO AO FUNDEB - 20% DE ((2.1.1) + (2.2) + (2.3) + (2.4) + (2.5))</t>
  </si>
  <si>
    <t>11.153.386,79</t>
  </si>
  <si>
    <t>11.044.054,57</t>
  </si>
  <si>
    <t>5- VALOR MÍNIMO A SER APLICADO EM MDE ALÉM DO VALOR DESTINADO AO FUNDEB - 5% DE ((2.1.1) + (2.2) + (2.3) + (2.4) + (2.5)) + 25% DE ((1.1) + (1.2) + (1.3) + (1.4) + (2.1.2)+ (2.6)+ (2.7))</t>
  </si>
  <si>
    <t>6.944.566,80</t>
  </si>
  <si>
    <t>5.671.197,68</t>
  </si>
  <si>
    <t>RECEITAS RECEBIDAS DO FUNDEB NO EXERCÍCIO</t>
  </si>
  <si>
    <t>6- RECEITAS RECEBIDAS DO FUNDEB</t>
  </si>
  <si>
    <t>6.1- FUNDEB - Impostos e Transferências de Impostos</t>
  </si>
  <si>
    <t>6.1.1- Principal</t>
  </si>
  <si>
    <t>6.1.2- Rendimentos de Aplicação Financeira</t>
  </si>
  <si>
    <t>6.2- FUNDEB - Complementação da União - VAAF</t>
  </si>
  <si>
    <t>6.2.1- Principal</t>
  </si>
  <si>
    <t>6.2.2- Rendimentos de Aplicação Financeira</t>
  </si>
  <si>
    <t>6.3- FUNDEB - Complementação da União - VAAT</t>
  </si>
  <si>
    <t>6.3.1- Principal</t>
  </si>
  <si>
    <t>FONTE: GOVBR - Responsabilidade Fiscal, SECRETARIA DE MUNICÍPIO DA FAZENDA, 18/Nov/2021, 15h e 36m.</t>
  </si>
  <si>
    <t>6.3.2- Rendimentos de Aplicação Financeira</t>
  </si>
  <si>
    <t>7- RESULTADO LÍQUIDO DAS TRANSFERÊNCIAS DO FUNDEB (6.1.1 – 4)¹</t>
  </si>
  <si>
    <t>14.201.044,21</t>
  </si>
  <si>
    <t>10.773.371,05</t>
  </si>
  <si>
    <t>RECURSOS RECEBIDOS EM EXERCÍCIOS ANTERIORES E NÃO UTILIZADOS (SUPERÁVIT)</t>
  </si>
  <si>
    <t>8- TOTAL DOS RECURSOS DE SUPERÁVIT</t>
  </si>
  <si>
    <t>8.1- SUPERÁVIT DO EXERCÍCIO IMEDIATAMENTE ANTERIOR</t>
  </si>
  <si>
    <t>8.2- SUPERÁVIT RESIDUAL DE OUTROS EXERCÍCIOS</t>
  </si>
  <si>
    <t>9- TOTAL DOS RECURSOS DO FUNDEB DISPONÍVEIS PARA UTILIZAÇÃO (6 + 8)</t>
  </si>
  <si>
    <t>DESPESAS COM RECURSOS DO FUNDEB         
(Por Área de Atuação)⁶</t>
  </si>
  <si>
    <t>INSCRITAS EM RESTOS A
PAGAR NÃO PROCESSADOS
(g)</t>
  </si>
  <si>
    <t>10- PROFISSIONAIS DA EDUCAÇÃO BÁSICA</t>
  </si>
  <si>
    <t>10.1- Educação Infantil</t>
  </si>
  <si>
    <t>10.1.1- Creche</t>
  </si>
  <si>
    <t>10.1.2- Pré-escola</t>
  </si>
  <si>
    <t>10.2- Ensino Fundamental</t>
  </si>
  <si>
    <t>11- OUTRAS DESPESAS</t>
  </si>
  <si>
    <t>11.1- Educação Infantil</t>
  </si>
  <si>
    <t>11.1.1- Creche</t>
  </si>
  <si>
    <t>11.1.2- Pré-escola</t>
  </si>
  <si>
    <t>11.2- Ensino Fundamental</t>
  </si>
  <si>
    <t>12- TOTAL DAS DESPESAS COM RECURSOS DO FUNDEB (10 + 11)</t>
  </si>
  <si>
    <t>INDICADORES DO FUNDEB</t>
  </si>
  <si>
    <t>DESPESAS CUSTEADAS COM RECEITAS DO FUNDEB RECEBIDAS NO EXERCÍCIO</t>
  </si>
  <si>
    <t>INSCRITAS EM RESTOS
A PAGAR 
NÃO PROCESSADOS
(g)</t>
  </si>
  <si>
    <t>INSCRITAS EM RESTOS A
PAGAR NÃO PROCESSADOS
(SEM DISPONIBILIDADE DE CAIXA)⁷
(h)</t>
  </si>
  <si>
    <t>13- Total das Despesas do FUNDEB com Profissionais da Educação Básica</t>
  </si>
  <si>
    <t>14- Total das Despesas custeadas com FUNDEB - Impostos e Transferências de Impostos</t>
  </si>
  <si>
    <t>15- Total das Despesas custeadas com FUNDEB - Complementação da União - VAAF</t>
  </si>
  <si>
    <t>16- Total das Despesas custeadas com FUNDEB - Complementação da União - VAAT</t>
  </si>
  <si>
    <t>17- Total das Despesas custeadas com FUNDEB - Complementação da União - VAAT Aplicadas na Educação Infantil</t>
  </si>
  <si>
    <t>18- Total das Despesas custeadas com FUNDEB - Complementação da União - VAAT Aplicadas em Despesa de Capital</t>
  </si>
  <si>
    <t>INDICADORES - Art. 212-A, inciso XI e § 3º - Constituição Federal²</t>
  </si>
  <si>
    <t>VALOR EXIGIDO
(i)</t>
  </si>
  <si>
    <t>VALOR APLICADO
(j)</t>
  </si>
  <si>
    <t>VALOR CONSIDERADO
APÓS DEDUÇÕES
(k)</t>
  </si>
  <si>
    <t>% APLICADO
(l)</t>
  </si>
  <si>
    <t>19- Mínimo de 70% do FUNDEB na Remuneração dos Profissionais da Educação Básica</t>
  </si>
  <si>
    <t>15.272.197,93</t>
  </si>
  <si>
    <t>20 - Percentual de 50% da Complementação da União ao FUNDEB (VAAT) na Educação Infantil</t>
  </si>
  <si>
    <t>21- Mínimo de 15% da Complementação da União ao FUNDEB - VAAT em Despesas de Capital</t>
  </si>
  <si>
    <t>INDICADOR - Art.25, § 3º - Lei nº 14.113, de 2020 - (Máximo de 10% de Superávit)³</t>
  </si>
  <si>
    <t>VALOR MAXIMO PERMITIDO
(m)</t>
  </si>
  <si>
    <t>VALOR NÃO APLICADO
(n)</t>
  </si>
  <si>
    <t>VALOR NÃO APLICADO APÓS 
AJUSTE
(o)</t>
  </si>
  <si>
    <t>% NÃO APLICADO
(p)</t>
  </si>
  <si>
    <t>22- Total da Receita Recebida e não Aplicada no Exercício</t>
  </si>
  <si>
    <t>2.181.742,56</t>
  </si>
  <si>
    <t>1.728.865,76</t>
  </si>
  <si>
    <t>INDICADOR - Art.25, § 3º - Lei nº 14.113, de 2020 - (Aplicação do Superávit de Exercício Anterior)³</t>
  </si>
  <si>
    <t>VALOR DE SUPERÁVIT
PERMITIDO NO EXERCÍCIO 
ANTERIOR
(q)</t>
  </si>
  <si>
    <t>VALOR NÃO
APLICADO NO 
EXERCÍCIO ANTERIOR
(r)</t>
  </si>
  <si>
    <t>VALOR DE SUPERÁVIT 
APLICADO ATÉ O 
PRIMEIRO 
QUADRIMESTRE
(s)</t>
  </si>
  <si>
    <t>VALOR APLICADO 
ATÉ O PRIMEIRO 
QUADRIMESTRE 
QUE INTEGRARÁ O 
LIMITE CONSTITUCIONAL 
(t)</t>
  </si>
  <si>
    <t>VALOR APLICADO 
APÓS O PRIMEIRO 
QUADRIMESTRE
(u)</t>
  </si>
  <si>
    <t>VALOR 
NÃO APLICADO
(v) = (r) - (s) - (u)</t>
  </si>
  <si>
    <t>23- Total das Despesas do FUNDEB com Profissionais da Educação Básica</t>
  </si>
  <si>
    <t>23.1- Total das Despesas custeadas com FUNDEB - Impostos e Transferências de Impostos</t>
  </si>
  <si>
    <t>23.2- Total das Despesas custeadas com FUNDEB - Complementação da União - VAAF</t>
  </si>
  <si>
    <t>DESPESAS COM MANUTENÇÃO E DESENVOLVIMENTO DO ENSINO – MDE – CUSTEADAS COM RECEITA DE IMPOSTOS (EXCETO FUNDEB)</t>
  </si>
  <si>
    <t>DESPESAS COM AÇÕES TÍPICAS DE MDE - RECEITAS DE IMPOSTOS - EXCETO FUNDEB         
(Por Área de Atuação)⁶</t>
  </si>
  <si>
    <t>24- EDUCAÇÃO INFANTIL</t>
  </si>
  <si>
    <t>4.741.595,21</t>
  </si>
  <si>
    <t>873.356,30</t>
  </si>
  <si>
    <t>852.238,27</t>
  </si>
  <si>
    <t>821.232,12</t>
  </si>
  <si>
    <t>24.1- Creche</t>
  </si>
  <si>
    <t>3.041.168,94</t>
  </si>
  <si>
    <t>587.930,93</t>
  </si>
  <si>
    <t>566.812,90</t>
  </si>
  <si>
    <t>547.767,42</t>
  </si>
  <si>
    <t>24.2- Pré-escola</t>
  </si>
  <si>
    <t>1.700.426,27</t>
  </si>
  <si>
    <t>285.425,37</t>
  </si>
  <si>
    <t>273.464,70</t>
  </si>
  <si>
    <t>25- ENSINO FUNDAMENTAL</t>
  </si>
  <si>
    <t>8.256.629,47</t>
  </si>
  <si>
    <t>4.144.364,42</t>
  </si>
  <si>
    <t>4.052.663,75</t>
  </si>
  <si>
    <t>3.932.487,06</t>
  </si>
  <si>
    <t>26- TOTAL DAS DESPESAS COM AÇÕES TÍPICAS DE MDE (24 + 25)</t>
  </si>
  <si>
    <t>12.998.224,68</t>
  </si>
  <si>
    <t>APURAÇÃO DAS DESPESAS PARA FINS DE LIMITE MÍNIMO CONSTITUCIONAL</t>
  </si>
  <si>
    <t>27- TOTAL DAS DESPESAS DE MDE CUSTEADAS COM RECURSOS DE IMPOSTOS (FUNDEB E RECEITA DE IMPOSTOS) = (L14(d ou e) + L26(d ou e) + L23.1(t))</t>
  </si>
  <si>
    <t>24.993.461,88</t>
  </si>
  <si>
    <t>28 (-) RESULTADO LÍQUIDO DAS TRANSFERÊNCIAS DO FUNDEB = (L7)</t>
  </si>
  <si>
    <t>29 (-) RESTOS A PAGAR NÃO PROCESSADOS INSCRITOS NO EXERCÍCIO SEM DISPONIBILIDADE FINANCEIRA DE RECURSOS DO FUNDEB IMPOSTOS⁴ = (L14h)</t>
  </si>
  <si>
    <t>30 (-) RESTOS A PAGAR NÃO PROCESSADOS INSCRITOS NO EXERCÍCIO SEM DISPONIBILIDADE FINANCEIRA DE RECURSOS DE IMPOSTOS⁴ ᵉ ⁷</t>
  </si>
  <si>
    <t>31 (-) CANCELAMENTO, NO EXERCÍCIO, DE RESTOS A PAGAR INSCRITOS COM DISPONIBILIDADE FINANCEIRA DE RECURSOS DE IMPOSTOS VINCULADOS AO ENSINO</t>
  </si>
  <si>
    <t>7.661,99</t>
  </si>
  <si>
    <t>32- TOTAL DAS DESPESAS PARA FINS DE LIMITE  (27 – (28 + 29 + 30 + 31))</t>
  </si>
  <si>
    <t>14.212.428,84</t>
  </si>
  <si>
    <t>APURAÇÃO DO LIMITE MÍNIMO CONSTITUCIONAL² ᵉ ⁵</t>
  </si>
  <si>
    <t>VALOR EXIGIDO
(x)</t>
  </si>
  <si>
    <t>VALOR APLICADO
(w)</t>
  </si>
  <si>
    <t>% APLICADO
(y)</t>
  </si>
  <si>
    <t>33- APLICAÇÃO EM MDE SOBRE A RECEITA RESULTANTE DE IMPOSTOS</t>
  </si>
  <si>
    <t>16.715.252,25</t>
  </si>
  <si>
    <t>RESTOS A PAGAR INSCRITOS EM EXERCÍCIOS ANTERIORES COM DISPONIBILIDADE FINANCEIRA
DE RECURSOS DE IMPOSTOS E DO FUNDEB⁸</t>
  </si>
  <si>
    <t>SALDO INICIAL
(z)</t>
  </si>
  <si>
    <t>RP LIQUIDADOS
(aa)</t>
  </si>
  <si>
    <t>RP PAGOS
(ab)</t>
  </si>
  <si>
    <t>RP CANCELADOS
(ac)</t>
  </si>
  <si>
    <t>SALDO FINAL
(ad) = (z) - (ab) - (ac)</t>
  </si>
  <si>
    <t>34- RESTOS A PAGAR DE DESPESAS COM MDE</t>
  </si>
  <si>
    <t>2.148.195,96</t>
  </si>
  <si>
    <t>4.194.853,35</t>
  </si>
  <si>
    <t>1.363.749,10</t>
  </si>
  <si>
    <t>776.784,87</t>
  </si>
  <si>
    <t>34.1 - Executadas com Recursos de Impostos e Transferências de Impostos</t>
  </si>
  <si>
    <t>1.904.792,82</t>
  </si>
  <si>
    <t>3.701.958,50</t>
  </si>
  <si>
    <t>1.114.357,24</t>
  </si>
  <si>
    <t>782.773,59</t>
  </si>
  <si>
    <t>34.2 - Executadas com Recursos do FUNDEB - Impostos</t>
  </si>
  <si>
    <t>243.403,14</t>
  </si>
  <si>
    <t>492.894,85</t>
  </si>
  <si>
    <t>(5.988,72)</t>
  </si>
  <si>
    <t>34.3 - Executadas com Recursos do FUNDEB - Complementação da União (VAAT + VAAF)</t>
  </si>
  <si>
    <t>OUTRAS INFORMAÇÕES PARA CONTROLE</t>
  </si>
  <si>
    <t>RECEITAS ADICIONAIS PARA FINANCIAMENTO DO ENSINO</t>
  </si>
  <si>
    <t>35- RECEITA DE TRANSFERÊNCIAS DO FNDE (INCLUINDO RENDIMENTOS DE APLICAÇÃO FINANCEIRA)</t>
  </si>
  <si>
    <t>2.061.534,90</t>
  </si>
  <si>
    <t>1.852.093,40</t>
  </si>
  <si>
    <t>35.1- Salário-Educação</t>
  </si>
  <si>
    <t>1.344.809,77</t>
  </si>
  <si>
    <t>35.2- PDDE</t>
  </si>
  <si>
    <t>35.3- PNAE</t>
  </si>
  <si>
    <t>481.041,34</t>
  </si>
  <si>
    <t>35.4- PNATE</t>
  </si>
  <si>
    <t>217.723,49</t>
  </si>
  <si>
    <t>35.5- Outras Transferências do FNDE</t>
  </si>
  <si>
    <t>17.960,30</t>
  </si>
  <si>
    <t>36- RECEITA DE TRANSFERÊNCIAS DE CONVÊNIOS</t>
  </si>
  <si>
    <t>2.106.364,81</t>
  </si>
  <si>
    <t>37- RECEITA DE ROYALTIES DESTINADOS À EDUCAÇÃO</t>
  </si>
  <si>
    <t>38- RECEITA DE OPERAÇÕES DE CRÉDITO VINCULADAS À EDUCAÇÃO</t>
  </si>
  <si>
    <t>39- OUTRAS RECEITAS PARA FINANCIAMENTO DO ENSINO</t>
  </si>
  <si>
    <t>40- TOTAL DAS RECEITAS ADICIONAIS PARA FINANCIAMENTO DO ENSINO = (35 + 36 + 37 +38 + 39)</t>
  </si>
  <si>
    <t>4.167.919,71</t>
  </si>
  <si>
    <t>2.727.588,38</t>
  </si>
  <si>
    <t>DESPESAS CUSTEADAS COM RECEITAS ADICIONAIS PARA FINANCIAMENTO DO ENSINO         
(Por Área de Atuação)⁶</t>
  </si>
  <si>
    <t>41- EDUCAÇÃO INFANTIL</t>
  </si>
  <si>
    <t>316.652,00</t>
  </si>
  <si>
    <t>170.739,40</t>
  </si>
  <si>
    <t>161.012,31</t>
  </si>
  <si>
    <t>41.1- Creche</t>
  </si>
  <si>
    <t>187.100,00</t>
  </si>
  <si>
    <t>99.575,20</t>
  </si>
  <si>
    <t>94.491,05</t>
  </si>
  <si>
    <t>41.2- Pré-escola</t>
  </si>
  <si>
    <t>129.552,00</t>
  </si>
  <si>
    <t>71.164,20</t>
  </si>
  <si>
    <t>66.521,26</t>
  </si>
  <si>
    <t>42- ENSINO FUNDAMENTAL</t>
  </si>
  <si>
    <t>3.446.303,71</t>
  </si>
  <si>
    <t>859.306,92</t>
  </si>
  <si>
    <t>789.631,34</t>
  </si>
  <si>
    <t>658.050,37</t>
  </si>
  <si>
    <t>43- ENSINO MÉDIO</t>
  </si>
  <si>
    <t>44- ENSINO SUPERIOR</t>
  </si>
  <si>
    <t>45- ENSINO PROFISSIONAL NÃO INTEGRADO AO ENSINO REGULAR</t>
  </si>
  <si>
    <t>46- TOTAL DAS DESPESAS CUSTEADAS COM RECEITAS ADICIONAIS PARA FINANCIAMENTO DO ENSINO (41+42+43+44+45)</t>
  </si>
  <si>
    <t>3.762.975,71</t>
  </si>
  <si>
    <t>1.030.046,32</t>
  </si>
  <si>
    <t>950.643,65</t>
  </si>
  <si>
    <t>819.062,68</t>
  </si>
  <si>
    <t>TOTAL GERAL DAS DESPESAS COM EDUCAÇÃO</t>
  </si>
  <si>
    <t>47- TOTAL GERAL DAS DESPESAS COM EDUCAÇÃO (12 + 26 + 46)</t>
  </si>
  <si>
    <t>45.300.972,89</t>
  </si>
  <si>
    <t>27.490.799,20</t>
  </si>
  <si>
    <t>27.181.625,04</t>
  </si>
  <si>
    <t>25.859.687,23</t>
  </si>
  <si>
    <t>47.1- Despesas Correntes</t>
  </si>
  <si>
    <t>43.854.558,26</t>
  </si>
  <si>
    <t>27.438.154,70</t>
  </si>
  <si>
    <t>27.146.139,54</t>
  </si>
  <si>
    <t>25.824.521,33</t>
  </si>
  <si>
    <t>47.1.1- Pessoal Ativo</t>
  </si>
  <si>
    <t>36.312.290,01</t>
  </si>
  <si>
    <t>23.317.014,24</t>
  </si>
  <si>
    <t>22.595.818,42</t>
  </si>
  <si>
    <t>47.1.2- Pessoal Inativo</t>
  </si>
  <si>
    <t>47.1.3-Transferências às instituições comunitárias, confessionais ou filantrópicas sem fins lucrativos</t>
  </si>
  <si>
    <t>80.000,00</t>
  </si>
  <si>
    <t>48.000,00</t>
  </si>
  <si>
    <t>47.1.4- Outras Despesas Correntes</t>
  </si>
  <si>
    <t>7.462.268,25</t>
  </si>
  <si>
    <t>4.041.140,46</t>
  </si>
  <si>
    <t>3.781.125,30</t>
  </si>
  <si>
    <t>3.180.702,91</t>
  </si>
  <si>
    <t>47.2- Despesas de Capital</t>
  </si>
  <si>
    <t>1.446.414,63</t>
  </si>
  <si>
    <t>52.644,50</t>
  </si>
  <si>
    <t>35.485,50</t>
  </si>
  <si>
    <t>35.165,90</t>
  </si>
  <si>
    <t>47.2.1- Transferências às instituições comunitárias, confessionais ou filantrópicas sem fins lucrativos</t>
  </si>
  <si>
    <t>47.2.2- Outras Despesas de Capital</t>
  </si>
  <si>
    <t>CONTROLE DA DISPONIBILIDADE FINANCEIRA E CONCILIAÇÃO BANCÁRIA</t>
  </si>
  <si>
    <t>FUNDEB
(ae)</t>
  </si>
  <si>
    <t>SALÁRIO EDUCAÇÃO
(af)</t>
  </si>
  <si>
    <t>48- DISPONIBILIDADE FINANCEIRA EM 31 DE DEZEMBRO DE  2020</t>
  </si>
  <si>
    <t>49- (+) INGRESSO DE RECURSOS ATÉ O BIMESTRE (orçamentário)</t>
  </si>
  <si>
    <t>50- (-) PAGAMENTOS EFETUADOS ATÉ O BIMESTRE (orçamentário e restos a pagar)</t>
  </si>
  <si>
    <t>51- (=) DISPONIBILIDADE FINANCEIRA ATÉ O BIMESTRE</t>
  </si>
  <si>
    <t>52- (+) AJUSTES POSITIVOS (RETENÇÕES E OUTROS VALORES EXTRAORÇAMENTÁRIOS)</t>
  </si>
  <si>
    <t>53- (-) AJUSTES NEGATIVOS (OUTROS VALORES EXTRAORÇAMENTÁRIOS)</t>
  </si>
  <si>
    <t>54- (=) SALDO FINANCEIRO CONCILIADO (Saldo Bancário)</t>
  </si>
  <si>
    <t>1 SE RESULTADO LÍQUIDO DA TRANSFERÊNCIA (7) &gt; 0 = ACRÉSCIMO RESULTANTE DAS TRANSFERÊNCIAS DO FUNDEB, SE RESULTADO LÍQUIDO DA TRANSFERÊNCIA (7) &lt; 0 = DECRÉSCIMO RESULTANTE DAS TRANSFERÊNCIAS DO FUNDEB.
2 Limites mínimos anuais a serem cumpridos no encerramento do exercício.
3 Art. 25, § 3º, Lei 14.113/2020: “Até 10% (dez por cento) dos recursos recebidos à conta dos Fundos, inclusive relativos à complementação da União, nos termos do § 2º do art. 16 desta Lei, poderão ser utilizados no primeiro quadrimestre do exercício imediatamente subsequente, mediante abertura de crédito adicional.
4 Os valores referentes à parcela dos Restos a Pagar inscritos sem disponibilidade financeira vinculada à educação deverão ser informados somente no RREO do último bimestre do exercício.
5 Nos cinco primeiros bimestres do exercício o acompanhamento será feito com base na despesa liquidada. No último bimestre do exercício, o valor deverá corresponder ao total da despesa empenhada.
6 As linhas representam áreas de atuação e não correspondem exatamente às subfunções da Função Educação. As despesas classificadas nas demais subfunções típicas e nas subfunções atípicas deverão ser rateadas para essas áreas de atuação.
7 Valor inscrito em RPNP sem disponibilidade de caixa, que não deve ser considerado na apuração dos indicadores e limites.
8 Controle da execução de restos a pagar considerados no cumprimento do limite mínimo dos exercícios anteriores.</t>
  </si>
  <si>
    <t>Página 1 de 1</t>
  </si>
  <si>
    <t>PREFEITURA MUNICIPAL DE CACAPAVA DO SUL-RS</t>
  </si>
  <si>
    <t>DEMONSTRATIVO DAS RECEITAS DE OPERAÇÕES DE CRÉDITO E DESPESAS DE CAPITAL (REGRA DE OURO)</t>
  </si>
  <si>
    <t>ORÇAMENTOS FISCAL E DA SEGURIDADE SOCIAL</t>
  </si>
  <si>
    <t>JANEIRO A OUTUBRO 2021/BIMESTRE SETEMBRO-OUTUBRO</t>
  </si>
  <si>
    <t>RREO – ANEXO 9 (LRF, art.53, § 1º, inciso I)</t>
  </si>
  <si>
    <t>PREVISÃO ATUALIZADA</t>
  </si>
  <si>
    <t>RECEITAS REALIZADAS</t>
  </si>
  <si>
    <t>SALDO NÃO REALIZADO</t>
  </si>
  <si>
    <t>(c) = (a-b)</t>
  </si>
  <si>
    <t>RECEITAS DE OPERAÇÕES DE CRÉDITO¹ (I)</t>
  </si>
  <si>
    <t>DOTAÇÃO ATUALIZADA</t>
  </si>
  <si>
    <t>SALDO NÃO EXECUTADO</t>
  </si>
  <si>
    <t>EMPENHADAS</t>
  </si>
  <si>
    <t>(e)</t>
  </si>
  <si>
    <t>(f)=(d-e)</t>
  </si>
  <si>
    <t>DESPESAS DE CAPITAL</t>
  </si>
  <si>
    <t>7.468.561,85</t>
  </si>
  <si>
    <t>5.944.883,17</t>
  </si>
  <si>
    <t>5.932.434,79</t>
  </si>
  <si>
    <t>(-)Incentivos Fiscais a Contribuinte</t>
  </si>
  <si>
    <t>(-)Incentivos Fiscais a Contribuinte por Instituições Financeiras</t>
  </si>
  <si>
    <t>DESPESAS DE CAPITAL LÍQUIDA (II)</t>
  </si>
  <si>
    <t>RESULTADO PARA APURAÇÃO DA REGRA DE OURO (III)=(II–I)</t>
  </si>
  <si>
    <t>Notas:
¹ Operações de Crédito descritas na CF, art. 167, inciso III</t>
  </si>
  <si>
    <t>FONTE: GOVBR - Responsabilidade Fiscal, SECRETARIA DE MUNICÍPIO DA FAZENDA, 18/Nov/2021, 15h e 55m.</t>
  </si>
  <si>
    <t>PREFEITURA MUNICIPAL DE CACAPAVA DO SUL - RS</t>
  </si>
  <si>
    <t>DEMONSTRATIVO DA RECEITA DE ALIENAÇÃO DE ATIVOS E APLICAÇÃO DOS RECURSOS</t>
  </si>
  <si>
    <t>RREO - ANEXO 11 (LRF, art. 53, § 1º, inciso III)</t>
  </si>
  <si>
    <t>RECEITAS DE ALIENAÇÃO DE ATIVOS (I)</t>
  </si>
  <si>
    <t>Receita de Alienação de Bens Móveis</t>
  </si>
  <si>
    <t>Receita de Alienação de Bens Imóveis</t>
  </si>
  <si>
    <t>Receita de Alienação de Bens Intangíveis</t>
  </si>
  <si>
    <t>Receita de Rendimentos de Aplicações Financeiras</t>
  </si>
  <si>
    <t>PAGAMENTO</t>
  </si>
  <si>
    <t>LIQUIDADAS</t>
  </si>
  <si>
    <t>PAGAS</t>
  </si>
  <si>
    <t>INSCRITAS EM RESTOS A</t>
  </si>
  <si>
    <t>DE RESTOS A PAGAR</t>
  </si>
  <si>
    <t>PAGAR NÃO PROCESSADOS</t>
  </si>
  <si>
    <t>(h)=(d-e)</t>
  </si>
  <si>
    <t>APLICAÇÃO DOS RECURSOS DA ALIENAÇÃO DE ATIVOS (II)</t>
  </si>
  <si>
    <t>Despesas de Capital</t>
  </si>
  <si>
    <t>Despesas Correntes dos Regimes de Previdência</t>
  </si>
  <si>
    <t>Regime Próprio dos Servidores Públicos</t>
  </si>
  <si>
    <t>SALDO FINANCEIRO A APLICAR</t>
  </si>
  <si>
    <t>(j) = (Ib - (IIf + IIg))</t>
  </si>
  <si>
    <t>(k) = (IIIi + IIIj)</t>
  </si>
  <si>
    <t>VALOR (III)</t>
  </si>
  <si>
    <t>Demonstrativo das Receitas e Despesas com Ações e Serviços Públicos de Saúde</t>
  </si>
  <si>
    <t>RREO – ANEXO XII  (LC n° 141/2012 art.35)</t>
  </si>
  <si>
    <t>RECEITAS RESULTANTES DE IMPOSTOS E TRANSFERÊNCIAS CONSTITUCIONAIS E LEGAIS</t>
  </si>
  <si>
    <t>PREVISÃO INICIAL</t>
  </si>
  <si>
    <t>Até o Bimestre (b)</t>
  </si>
  <si>
    <t>% (b/a) x 100</t>
  </si>
  <si>
    <t>RECEITA DE IMPOSTOS  (I)</t>
  </si>
  <si>
    <t>73,81</t>
  </si>
  <si>
    <t>Receita Resultante do Imposto Predial e Territorial Urbano - IPTU</t>
  </si>
  <si>
    <t>62,95</t>
  </si>
  <si>
    <t>3.167.486,58</t>
  </si>
  <si>
    <t>2.071.394,10</t>
  </si>
  <si>
    <t>65,40</t>
  </si>
  <si>
    <t>Multas, Juros de Mora, Divida Ativa e Outros Encargos do IPTU</t>
  </si>
  <si>
    <t>869.967,25</t>
  </si>
  <si>
    <t>470.213,48</t>
  </si>
  <si>
    <t>54,05</t>
  </si>
  <si>
    <t>Receita Resultante do Imposto sobre Transmissão Inter Vivos - ITBI</t>
  </si>
  <si>
    <t>159,65</t>
  </si>
  <si>
    <t>1.060.847,40</t>
  </si>
  <si>
    <t>162,29</t>
  </si>
  <si>
    <t>Multas, Juros de Mora, Dívida Ativa e Outros Encargos do ITBI</t>
  </si>
  <si>
    <t>17.510,87</t>
  </si>
  <si>
    <t>Receita Resultante do Imposto sobre Serviços de Qualquer Natureza - ISS</t>
  </si>
  <si>
    <t>60,99</t>
  </si>
  <si>
    <t>5.602.856,40</t>
  </si>
  <si>
    <t>3.132.367,22</t>
  </si>
  <si>
    <t>55,91</t>
  </si>
  <si>
    <t>Multas, Juros de Mora, Dívida Ativa e Outros Encargos do ISS</t>
  </si>
  <si>
    <t>120.999,39</t>
  </si>
  <si>
    <t>358.866,19</t>
  </si>
  <si>
    <t>296,59</t>
  </si>
  <si>
    <t>Receita Resultante do Imposto sobre a Renda e Proventos de Qualquer Natureza Retido na Fonte – IRRF</t>
  </si>
  <si>
    <t>80,86</t>
  </si>
  <si>
    <t>RECEITA DE TRANSFERÊNCIAS CONSTITUCIONAIS E LEGAIS (II)</t>
  </si>
  <si>
    <t>55.930.423,28</t>
  </si>
  <si>
    <t>55.220.272,86</t>
  </si>
  <si>
    <t>98,73</t>
  </si>
  <si>
    <t>Cota-Parte FPM</t>
  </si>
  <si>
    <t>93,64</t>
  </si>
  <si>
    <t>Cota-Parte ITR</t>
  </si>
  <si>
    <t>109,65</t>
  </si>
  <si>
    <t>Cota-Parte IPVA</t>
  </si>
  <si>
    <t>90,35</t>
  </si>
  <si>
    <t>Cota-Parte ICMS</t>
  </si>
  <si>
    <t>104,22</t>
  </si>
  <si>
    <t>Cota-Parte IPI-Exportação</t>
  </si>
  <si>
    <t>89,64</t>
  </si>
  <si>
    <t>Compensações Financeiras Provenientes de Impostos e Transferências Constitucionais</t>
  </si>
  <si>
    <t>Desoneração ICMS - LC 87/1996</t>
  </si>
  <si>
    <t>Outras</t>
  </si>
  <si>
    <t>TOTAL DAS RECEITAS RESULTANTES DE IMPOSTOS E TRANFERÊNCIAS CONSTITUCIONAIS E LEGAIS - (III) = (I) + (II)</t>
  </si>
  <si>
    <t>70.258.323,31</t>
  </si>
  <si>
    <t>65.795.484,74</t>
  </si>
  <si>
    <t>93,65</t>
  </si>
  <si>
    <t>DESPESAS COM AÇÕES E SERVIÇOS PÚBLICOS DE SAÚDE (ASPS) –  POR SUBFUNÇÃO E CATEGORIA ECONÔMICA</t>
  </si>
  <si>
    <t>DOTAÇÃO
INICIAL</t>
  </si>
  <si>
    <t>DESPESAS EMPENHADAS</t>
  </si>
  <si>
    <t>DESPESAS LIQUIDADAS</t>
  </si>
  <si>
    <t>DESPESAS PAGAS</t>
  </si>
  <si>
    <t>Até o bimestre (d)</t>
  </si>
  <si>
    <t>% (d/c) x 100</t>
  </si>
  <si>
    <t>Até o bimestre (e)</t>
  </si>
  <si>
    <t>% (e/c) x 100</t>
  </si>
  <si>
    <t>Até o bimestre (f)</t>
  </si>
  <si>
    <t>% (f/c) x 100</t>
  </si>
  <si>
    <t>ATENÇÃO BÁSICA  (IV)</t>
  </si>
  <si>
    <t>3.376.172,48</t>
  </si>
  <si>
    <t>3.687.215,31</t>
  </si>
  <si>
    <t>2.915.280,37</t>
  </si>
  <si>
    <t>79,06</t>
  </si>
  <si>
    <t>2.873.528,79</t>
  </si>
  <si>
    <t>77,93</t>
  </si>
  <si>
    <t>2.862.308,46</t>
  </si>
  <si>
    <t>77,63</t>
  </si>
  <si>
    <t>Despesas Correntes</t>
  </si>
  <si>
    <t>ASSISTÊNCIA HOSPITALAR E AMBULATORIAL  (V)</t>
  </si>
  <si>
    <t>8.766.283,95</t>
  </si>
  <si>
    <t>9.154.976,25</t>
  </si>
  <si>
    <t>7.841.330,98</t>
  </si>
  <si>
    <t>85,65</t>
  </si>
  <si>
    <t>7.731.827,31</t>
  </si>
  <si>
    <t>84,45</t>
  </si>
  <si>
    <t>7.118.058,31</t>
  </si>
  <si>
    <t>77,75</t>
  </si>
  <si>
    <t>8.766.279,95</t>
  </si>
  <si>
    <t>9.138.805,08</t>
  </si>
  <si>
    <t>7.825.287,48</t>
  </si>
  <si>
    <t>85,63</t>
  </si>
  <si>
    <t>7.727.351,98</t>
  </si>
  <si>
    <t>84,56</t>
  </si>
  <si>
    <t>7.113.582,98</t>
  </si>
  <si>
    <t>77,84</t>
  </si>
  <si>
    <t>4,00</t>
  </si>
  <si>
    <t>16.171,17</t>
  </si>
  <si>
    <t>16.043,50</t>
  </si>
  <si>
    <t>99,21</t>
  </si>
  <si>
    <t>4.475,33</t>
  </si>
  <si>
    <t>27,67</t>
  </si>
  <si>
    <t>SUPORTE PROFILÁTICO E TERAPÊUTICO  (VI)</t>
  </si>
  <si>
    <t>403.453,40</t>
  </si>
  <si>
    <t>443.453,40</t>
  </si>
  <si>
    <t>387.848,33</t>
  </si>
  <si>
    <t>87,46</t>
  </si>
  <si>
    <t>373.089,53</t>
  </si>
  <si>
    <t>84,13</t>
  </si>
  <si>
    <t>361.130,94</t>
  </si>
  <si>
    <t>81,44</t>
  </si>
  <si>
    <t>VIGILÂNCIA SANITÁRIA  (VII)</t>
  </si>
  <si>
    <t>30.008,00</t>
  </si>
  <si>
    <t>50.008,00</t>
  </si>
  <si>
    <t>20.000,00</t>
  </si>
  <si>
    <t>39,99</t>
  </si>
  <si>
    <t>5.000,00</t>
  </si>
  <si>
    <t>10,00</t>
  </si>
  <si>
    <t>30.007,00</t>
  </si>
  <si>
    <t>50.007,00</t>
  </si>
  <si>
    <t>1,00</t>
  </si>
  <si>
    <t>FONTE: GOVBR - Responsabilidade Fiscal, SECRETARIA DE MUNICÍPIO DA FAZENDA, 18/Nov/2021, 16h e 01m.</t>
  </si>
  <si>
    <t>VIGILÂNCIA EPIDEMIOLÓGICA (VIII)</t>
  </si>
  <si>
    <t>432.648,90</t>
  </si>
  <si>
    <t>392.649,90</t>
  </si>
  <si>
    <t>284.395,88</t>
  </si>
  <si>
    <t>72,43</t>
  </si>
  <si>
    <t>283.837,62</t>
  </si>
  <si>
    <t>72,29</t>
  </si>
  <si>
    <t>ALIMENTAÇÃO E NUTRIÇÃO (IX)</t>
  </si>
  <si>
    <t>OUTRAS SUBFUNÇÕES (X)</t>
  </si>
  <si>
    <t>7.143.703,20</t>
  </si>
  <si>
    <t>6.423.967,07</t>
  </si>
  <si>
    <t>4.982.989,37</t>
  </si>
  <si>
    <t>77,57</t>
  </si>
  <si>
    <t>4.841.077,20</t>
  </si>
  <si>
    <t>75,36</t>
  </si>
  <si>
    <t>4.381.728,31</t>
  </si>
  <si>
    <t>68,21</t>
  </si>
  <si>
    <t>6.977.226,16</t>
  </si>
  <si>
    <t>6.262.489,03</t>
  </si>
  <si>
    <t>4.875.348,73</t>
  </si>
  <si>
    <t>77,85</t>
  </si>
  <si>
    <t>4.733.436,56</t>
  </si>
  <si>
    <t>75,58</t>
  </si>
  <si>
    <t>4.274.087,67</t>
  </si>
  <si>
    <t>68,25</t>
  </si>
  <si>
    <t>166.477,04</t>
  </si>
  <si>
    <t>161.478,04</t>
  </si>
  <si>
    <t>107.640,64</t>
  </si>
  <si>
    <t>66,66</t>
  </si>
  <si>
    <t>TOTAL (XI) = (IV + V + VI + VII + VIII + IX + X)</t>
  </si>
  <si>
    <t>20.152.269,93</t>
  </si>
  <si>
    <t>81,54</t>
  </si>
  <si>
    <t>79,96</t>
  </si>
  <si>
    <t>74,49</t>
  </si>
  <si>
    <t>APURAÇÃO DO CUMPRIMENTO DO LIMITE MÍNIMO PARA APLICAÇÃO EM ASPS</t>
  </si>
  <si>
    <t>DESPESAS EMPENHADAS (d)</t>
  </si>
  <si>
    <t>DESPESAS LIQUIDADAS (e)</t>
  </si>
  <si>
    <t>DESPESAS PAGAS (f)</t>
  </si>
  <si>
    <t>Total das Despesas com ASPS (XII) = (XI)</t>
  </si>
  <si>
    <t>(-) Restos a Pagar Não Processados Inscritos Indevidamente no Exercício sem Disponibilidade Financeira (XIII)¹</t>
  </si>
  <si>
    <t>(-) Despesas Custeadas com Recursos Vinculados à Parcela do Percentual Mínimo que não foi Aplicada em ASPS em Exercícios Anteriores (XIV)³</t>
  </si>
  <si>
    <t>(-) Despesas Custeadas com Disponibilidade de Caixa Vinculada aos Restos a Pagar Cancelados (XV)²</t>
  </si>
  <si>
    <t>(=) VALOR APLICADO EM ASPS (XVI) = (XII - XIII - XIV - XV)</t>
  </si>
  <si>
    <t>Despesa Mínima a ser Aplicada em ASPS (XVII) = (III) x 15% (LC 141/2012)</t>
  </si>
  <si>
    <t>9.869.322,71</t>
  </si>
  <si>
    <t>Despesa Mínima a ser Aplicada em ASPS (XVII) = (III) x % (Lei Orgânica Municipal)</t>
  </si>
  <si>
    <t>Diferença entre o Valor Aplicado e a Despesa Mínima a ser Aplicada (XVIII) = (XVI (d ou e) - XVII)1</t>
  </si>
  <si>
    <t>6.244.596,00</t>
  </si>
  <si>
    <t>5.142.740,93</t>
  </si>
  <si>
    <t>Limite não Cumprido (XIX) = (XVIII) (Quando valor for inferior a zero)</t>
  </si>
  <si>
    <t>PERCENTUAL DA RECEITA  DE IMPOSTOS E TRANSFERÊNCIAS CONSTITUCIONAIS E LEGAIS APLICADO EM ASPS  (XVI / III)*100 (mínimo de 15% conforme LC n° 141/2012 ou % da Lei Orgânica Municipal)</t>
  </si>
  <si>
    <t>24,49</t>
  </si>
  <si>
    <t>CONTROLE DO VALOR REFERENTE AO PERCENTUAL MÍNIMO NÃO CUMPRIDO EM EXERCÍCIOS ANTERIORES PARA FINS DE APLICAÇÃO DOS RECURSOS VINCULADOS CONFORME ARTIGOS 25 E 26 DA LC 141/2012</t>
  </si>
  <si>
    <t>LIMITE NÃO CUMPRIDO</t>
  </si>
  <si>
    <t>Saldo Inicial 
(no exercicio atual)
(h)</t>
  </si>
  <si>
    <t>Despesas Custeadas no Exercício de Referência</t>
  </si>
  <si>
    <t>Saldo Final
(não aplicado)1 
(l) = (h - (i ou j))</t>
  </si>
  <si>
    <t>Empenhadas
(i)</t>
  </si>
  <si>
    <t>Liquidadas
(j)</t>
  </si>
  <si>
    <t>Pagas
(k)</t>
  </si>
  <si>
    <t>Diferença de limite não cumprido em 2020</t>
  </si>
  <si>
    <t>Diferença de limite não cumprido em 2019</t>
  </si>
  <si>
    <t>Diferença de limite não cumprido em Exercícios Anteriores</t>
  </si>
  <si>
    <t>TOTAL DA DIFERENÇA DE LIMITE NÃO CUMPRIDO EM EXERCÍCIOS ANTERIORES (XX)</t>
  </si>
  <si>
    <t>EXECUÇÃO DE RESTOS A PAGAR</t>
  </si>
  <si>
    <t>EXERCÍCIO DO EMPENHO²</t>
  </si>
  <si>
    <t>Valor Mínimo para aplicação em ASPS                                                 (m)</t>
  </si>
  <si>
    <t>Valor aplicado em ASPS no exercício                                                  
(n)</t>
  </si>
  <si>
    <t>Valor aplicado além do limite mínimo       (o) = (n - m), se &lt; 0, então (o) = 0</t>
  </si>
  <si>
    <t>Total inscrito em RP no exercício                      (p)</t>
  </si>
  <si>
    <t>RPNP Inscritos Indevidamente no Exercício sem Disponibilidade Financeira         q = (XIIId)</t>
  </si>
  <si>
    <t>Valor inscrito em RP considerado no Limite
(r) = (p - (o + q))
se &lt; 0,
então (r) = (0)</t>
  </si>
  <si>
    <t>Total de RP pagos                (s)</t>
  </si>
  <si>
    <t>Total de RP a pagar                (t)</t>
  </si>
  <si>
    <t>Total de RP cancelados ou prescritos                                (u)</t>
  </si>
  <si>
    <t>Diferença entre o valor aplicado além do limite e o total de RP cancelados                                                       (v) = ((o + q) - u))</t>
  </si>
  <si>
    <t>Empenhos de 2021</t>
  </si>
  <si>
    <t>Empenhos de 2020</t>
  </si>
  <si>
    <t>Empenhos de 2019</t>
  </si>
  <si>
    <t>Empenhos de 2018</t>
  </si>
  <si>
    <t>Empenhos de 2017</t>
  </si>
  <si>
    <t>Empenhos de 2016</t>
  </si>
  <si>
    <t>Empenhos de 2015</t>
  </si>
  <si>
    <t>Empenhos de 2014</t>
  </si>
  <si>
    <t>Empenhos de 2013</t>
  </si>
  <si>
    <t>TOTAL DOS RESTOS A PAGAR CANCELADOS OU PRESCRITOS ATÉ O FINAL DO EXERCÍCIO ATUAL QUE AFETARAM O CUMPRIMENTO DO LIMITE (XXI)</t>
  </si>
  <si>
    <t>TOTAL DOS RESTOS A PAGAR CANCELADOS OU PRESCRITOS ATÉ O FINAL DO EXERCÍCIO ANTERIOR QUE AFETARAM O CUMPRIMENTO DO LIMITE (XXII)</t>
  </si>
  <si>
    <t>TOTAL DOS RESTOS A PAGAR CANCELADOS OU PRESCRITOS NO EXERCÍCIO ATUAL QUE AFETARAM O CUMPRIMENTO DO LIMITE (XXIII) = (XXI - XXII)</t>
  </si>
  <si>
    <t>CONTROLE DE RESTOS A PAGAR CANCELADOS OU PRESCRITOS CONSIDERADOS PARA FINS DE APLICAÇÃO DA DISPONIBILIDADE DE CAIXA CONFORME ARTIGO 24§ 1º e 2º DA LC 141/2012</t>
  </si>
  <si>
    <t>RESTOS A PAGAR CANCELADOS OU PRESCRITOS</t>
  </si>
  <si>
    <t>Saldo Inicial
(w)</t>
  </si>
  <si>
    <t>Saldo Final (não aplicado)1         
(aa) = (w - (x ou y))</t>
  </si>
  <si>
    <t>Empenhadas
(x)</t>
  </si>
  <si>
    <t>Liquidadas
(y)</t>
  </si>
  <si>
    <t>Pagas
(z)</t>
  </si>
  <si>
    <t>Restos a pagar cancelados ou prescritos em 2020 a serem compensados (XXIV)</t>
  </si>
  <si>
    <t>Restos a pagar cancelados ou prescritos em 2019 a serem compensados (XXV)</t>
  </si>
  <si>
    <t>(8.249,07)</t>
  </si>
  <si>
    <t>Restos a pagar cancelados ou prescritos em exercícios anteriores a serem compensados (XXVI)</t>
  </si>
  <si>
    <t>(196.497,12)</t>
  </si>
  <si>
    <t>TOTAL DE RESTOS A PAGAR CANCELADOS OU PRESCRITOS A COMPENSAR (XXVII)</t>
  </si>
  <si>
    <t>(204.746,19)</t>
  </si>
  <si>
    <t>RECEITAS ADICIONAIS PARA O FINANCIAMENTO DA SAÚDE NÃO COMPUTADAS NO CÁLCULO DO MÍNIMO</t>
  </si>
  <si>
    <t>RECEITAS DE TRANSFERÊNCIAS PARA A SAÚDE  (XXVIII)</t>
  </si>
  <si>
    <t>4.921.837,12</t>
  </si>
  <si>
    <t>5.789.660,49</t>
  </si>
  <si>
    <t>5.908.960,45</t>
  </si>
  <si>
    <t>102,06</t>
  </si>
  <si>
    <t>Proveniente da União</t>
  </si>
  <si>
    <t>3.673.796,32</t>
  </si>
  <si>
    <t>4.531.302,35</t>
  </si>
  <si>
    <t>4.716.651,46</t>
  </si>
  <si>
    <t>104,09</t>
  </si>
  <si>
    <t>Proveniente dos Estados</t>
  </si>
  <si>
    <t>1.248.040,80</t>
  </si>
  <si>
    <t>1.258.358,14</t>
  </si>
  <si>
    <t>1.192.308,99</t>
  </si>
  <si>
    <t>94,75</t>
  </si>
  <si>
    <t>Proveniente de outros Municípios</t>
  </si>
  <si>
    <t>RECEITA DE OPERAÇÕES DE CRÉDITO INTERNAS E EXTERNAS VINCULADAS A SAÚDE (XXIX)</t>
  </si>
  <si>
    <t>OUTRAS RECEITAS (XXX)</t>
  </si>
  <si>
    <t>TOTAL DE RECEITAS ADICIONAIS PARA FINANCIAMENTO DA SAÚDE (XXXI) = (XXVIII + XXIX + XXX)</t>
  </si>
  <si>
    <t>DESPESAS COM SAÚDE NÃO COMPUTADAS NO CÁLCULO DO MÍNIMO</t>
  </si>
  <si>
    <t>DESPESAS COM SAUDE POR SUBFUNÇÕES E CATEGORIA ECONÔMICA NÃO COMPUTADAS NO CÁLCULO DO MÍNIMO</t>
  </si>
  <si>
    <t>ATENÇÃO BÁSICA (XXXII)</t>
  </si>
  <si>
    <t>4.300.007,99</t>
  </si>
  <si>
    <t>5.871.396,25</t>
  </si>
  <si>
    <t>4.604.133,69</t>
  </si>
  <si>
    <t>78,42</t>
  </si>
  <si>
    <t>4.328.882,96</t>
  </si>
  <si>
    <t>73,73</t>
  </si>
  <si>
    <t>4.088.744,45</t>
  </si>
  <si>
    <t>69,64</t>
  </si>
  <si>
    <t>4.182.900,79</t>
  </si>
  <si>
    <t>5.723.091,05</t>
  </si>
  <si>
    <t>4.581.461,02</t>
  </si>
  <si>
    <t>80,05</t>
  </si>
  <si>
    <t>4.308.310,29</t>
  </si>
  <si>
    <t>75,28</t>
  </si>
  <si>
    <t>4.068.171,78</t>
  </si>
  <si>
    <t>71,08</t>
  </si>
  <si>
    <t>117.107,20</t>
  </si>
  <si>
    <t>148.305,20</t>
  </si>
  <si>
    <t>22.672,67</t>
  </si>
  <si>
    <t>15,29</t>
  </si>
  <si>
    <t>20.572,67</t>
  </si>
  <si>
    <t>13,87</t>
  </si>
  <si>
    <t>ASSISTÊNCIA HOSPITALAR E AMBULATORIAL (XXXIII)</t>
  </si>
  <si>
    <t>1.240.090,51</t>
  </si>
  <si>
    <t>1.399.369,81</t>
  </si>
  <si>
    <t>1.285.685,62</t>
  </si>
  <si>
    <t>91,88</t>
  </si>
  <si>
    <t>1.052.752,95</t>
  </si>
  <si>
    <t>75,23</t>
  </si>
  <si>
    <t>1.017.470,04</t>
  </si>
  <si>
    <t>72,71</t>
  </si>
  <si>
    <t>1.240.068,62</t>
  </si>
  <si>
    <t>1.271.456,96</t>
  </si>
  <si>
    <t>1.157.878,21</t>
  </si>
  <si>
    <t>91,07</t>
  </si>
  <si>
    <t>1.034.325,00</t>
  </si>
  <si>
    <t>81,35</t>
  </si>
  <si>
    <t>999.042,09</t>
  </si>
  <si>
    <t>78,57</t>
  </si>
  <si>
    <t>21,89</t>
  </si>
  <si>
    <t>127.912,85</t>
  </si>
  <si>
    <t>99,92</t>
  </si>
  <si>
    <t>14,41</t>
  </si>
  <si>
    <t>SUPORTE PROFILÁTICO E TERAPÊUTICO (XXXIV)</t>
  </si>
  <si>
    <t>487.164,07</t>
  </si>
  <si>
    <t>537.164,07</t>
  </si>
  <si>
    <t>472.207,78</t>
  </si>
  <si>
    <t>87,91</t>
  </si>
  <si>
    <t>392.925,44</t>
  </si>
  <si>
    <t>73,15</t>
  </si>
  <si>
    <t>322.750,02</t>
  </si>
  <si>
    <t>60,08</t>
  </si>
  <si>
    <t>VIGILÂNCIA SANITÁRIA (XXXV)</t>
  </si>
  <si>
    <t>14.002,00</t>
  </si>
  <si>
    <t>31.002,00</t>
  </si>
  <si>
    <t>9.558,68</t>
  </si>
  <si>
    <t>30,83</t>
  </si>
  <si>
    <t>9.403,68</t>
  </si>
  <si>
    <t>30,33</t>
  </si>
  <si>
    <t>VIGILÂNCIA EPIDEMIOLÓGICA (XXXVI)</t>
  </si>
  <si>
    <t>817.547,99</t>
  </si>
  <si>
    <t>2.419.912,99</t>
  </si>
  <si>
    <t>1.919.081,26</t>
  </si>
  <si>
    <t>79,30</t>
  </si>
  <si>
    <t>1.824.106,33</t>
  </si>
  <si>
    <t>75,38</t>
  </si>
  <si>
    <t>1.790.507,49</t>
  </si>
  <si>
    <t>73,99</t>
  </si>
  <si>
    <t>817.545,69</t>
  </si>
  <si>
    <t>2.352.536,69</t>
  </si>
  <si>
    <t>1.881.611,26</t>
  </si>
  <si>
    <t>79,98</t>
  </si>
  <si>
    <t>1.786.636,33</t>
  </si>
  <si>
    <t>75,95</t>
  </si>
  <si>
    <t>1.753.037,49</t>
  </si>
  <si>
    <t>74,52</t>
  </si>
  <si>
    <t>2,30</t>
  </si>
  <si>
    <t>67.376,30</t>
  </si>
  <si>
    <t>37.470,00</t>
  </si>
  <si>
    <t>55,61</t>
  </si>
  <si>
    <t>ALIMENTAÇÃO E NUTRIÇÃO (XXXVII)</t>
  </si>
  <si>
    <t>OUTRAS SUBFUNÇÕES (XXXVIII)</t>
  </si>
  <si>
    <t>204.761,22</t>
  </si>
  <si>
    <t>723.998,54</t>
  </si>
  <si>
    <t>161.918,37</t>
  </si>
  <si>
    <t>22,36</t>
  </si>
  <si>
    <t>83.529,37</t>
  </si>
  <si>
    <t>11,54</t>
  </si>
  <si>
    <t>12.281,35</t>
  </si>
  <si>
    <t>35.281,35</t>
  </si>
  <si>
    <t>19,62</t>
  </si>
  <si>
    <t>18,51</t>
  </si>
  <si>
    <t>192.479,87</t>
  </si>
  <si>
    <t>688.717,19</t>
  </si>
  <si>
    <t>154.997,62</t>
  </si>
  <si>
    <t>22,51</t>
  </si>
  <si>
    <t>76.997,62</t>
  </si>
  <si>
    <t>11,18</t>
  </si>
  <si>
    <t>TOTAL DAS DESPESAS NÃO COMPUTADAS NO CÁLCULO DO MÍNIMO  (XXXIX) = (XXXII + XXXIII + XXXIV + XXXV + XXXVI + XXXVII + XXXVIII)</t>
  </si>
  <si>
    <t>7.063.573,78</t>
  </si>
  <si>
    <t>10.982.843,66</t>
  </si>
  <si>
    <t>8.452.585,40</t>
  </si>
  <si>
    <t>76,96</t>
  </si>
  <si>
    <t>7.691.600,73</t>
  </si>
  <si>
    <t>70,03</t>
  </si>
  <si>
    <t>7.312.405,05</t>
  </si>
  <si>
    <t>66,58</t>
  </si>
  <si>
    <t>DESPESAS TOTAIS COM SAÚDE EXECUTADAS COM RECURSOS PRÓPRIOS E COM RECURSOS TRANSFERIDOS DE OUTROS ENTES</t>
  </si>
  <si>
    <t>75,35</t>
  </si>
  <si>
    <t>ATENÇÃO BÁSICA (XL) = (IV + XXXII)</t>
  </si>
  <si>
    <t>7.676.180,47</t>
  </si>
  <si>
    <t>9.558.611,56</t>
  </si>
  <si>
    <t>7.519.414,06</t>
  </si>
  <si>
    <t>78,67</t>
  </si>
  <si>
    <t>7.202.411,75</t>
  </si>
  <si>
    <t>6.951.052,91</t>
  </si>
  <si>
    <t>72,72</t>
  </si>
  <si>
    <t>83,23</t>
  </si>
  <si>
    <t>ASSISTÊNCIA HOSPITALAR E AMBULATORIAL (XLI) = (V + XXXIII)</t>
  </si>
  <si>
    <t>10.006.374,46</t>
  </si>
  <si>
    <t>10.554.346,06</t>
  </si>
  <si>
    <t>9.127.016,60</t>
  </si>
  <si>
    <t>86,48</t>
  </si>
  <si>
    <t>8.784.580,26</t>
  </si>
  <si>
    <t>8.135.528,35</t>
  </si>
  <si>
    <t>77,08</t>
  </si>
  <si>
    <t>78,12</t>
  </si>
  <si>
    <t>SUPORTE PROFILÁTICO E TERAPÊUTICO (XLII) = (VI + XXXIV)</t>
  </si>
  <si>
    <t>890.617,47</t>
  </si>
  <si>
    <t>980.617,47</t>
  </si>
  <si>
    <t>860.056,11</t>
  </si>
  <si>
    <t>87,71</t>
  </si>
  <si>
    <t>766.014,97</t>
  </si>
  <si>
    <t>683.880,96</t>
  </si>
  <si>
    <t>69,74</t>
  </si>
  <si>
    <t>23,95</t>
  </si>
  <si>
    <t>VIGILÂNCIA SANITÁRIA (XLIII) = (VII + XXXV)</t>
  </si>
  <si>
    <t>44.010,00</t>
  </si>
  <si>
    <t>81.010,00</t>
  </si>
  <si>
    <t>29.558,68</t>
  </si>
  <si>
    <t>36,49</t>
  </si>
  <si>
    <t>19.403,68</t>
  </si>
  <si>
    <t>14.403,68</t>
  </si>
  <si>
    <t>17,78</t>
  </si>
  <si>
    <t>74,97</t>
  </si>
  <si>
    <t>VIGILÂNCIA EPIDEMIOLÓGICA (XLIV) = (VIII + XXXVI)</t>
  </si>
  <si>
    <t>1.250.196,89</t>
  </si>
  <si>
    <t>2.812.562,89</t>
  </si>
  <si>
    <t>2.203.477,14</t>
  </si>
  <si>
    <t>78,34</t>
  </si>
  <si>
    <t>2.108.502,21</t>
  </si>
  <si>
    <t>2.074.345,11</t>
  </si>
  <si>
    <t>73,75</t>
  </si>
  <si>
    <t>ALIMENTAÇÃO E NUTRIÇÃO (XLV) = (XIX + XXXVII)</t>
  </si>
  <si>
    <t>68,90</t>
  </si>
  <si>
    <t>7.348.464,42</t>
  </si>
  <si>
    <t>7.147.965,61</t>
  </si>
  <si>
    <t>5.144.907,74</t>
  </si>
  <si>
    <t>71,98</t>
  </si>
  <si>
    <t>4.924.606,57</t>
  </si>
  <si>
    <t>4.465.257,68</t>
  </si>
  <si>
    <t>62,47</t>
  </si>
  <si>
    <t>76,46</t>
  </si>
  <si>
    <t>TOTAL DAS DESPESAS COM SAÚDE (XLVII) = (XI + XXXIX)</t>
  </si>
  <si>
    <t>27.215.843,71</t>
  </si>
  <si>
    <t>31.135.113,59</t>
  </si>
  <si>
    <t>24.884.430,33</t>
  </si>
  <si>
    <t>79,92</t>
  </si>
  <si>
    <t>23.805.519,44</t>
  </si>
  <si>
    <t>22.324.468,69</t>
  </si>
  <si>
    <t>71,70</t>
  </si>
  <si>
    <t>(-) Despesas executadas com recursos provenientes das transferências de recursos de outros entes³</t>
  </si>
  <si>
    <t>7.063.564,78</t>
  </si>
  <si>
    <t>10.982.834,66</t>
  </si>
  <si>
    <t>TOTAL DAS DESPESAS EXECUTADAS COM RECURSOS PRÓPRIOS (XLVIII)</t>
  </si>
  <si>
    <t>20.152.278,93</t>
  </si>
  <si>
    <t>Notas:</t>
  </si>
  <si>
    <t>¹Nos cinco primeiros bimestres do exercício, o acompanhamento será feito com base na despesa liquidada. No último bimestre do exercício, o valor deverá corresponder ao total da despesa empenhada.</t>
  </si>
  <si>
    <t>²Até o exercício de 2018, o controle da execução dos restos a pagar considerava apenas os valores dos restos a pagar não processados (regra antiga). A partir do exercício de 2019, o controle da execução dos restos a pagar considera os restos a pagar processados e não processados (regra nova).</t>
  </si>
  <si>
    <t>³Essas despesas são consideradas executadas pelo ente transferidor.</t>
  </si>
  <si>
    <t>PREFEITURA MUNICIPAL DE CACAPAVA DO SUL - RS - PODER EXECUTIVO</t>
  </si>
  <si>
    <t>RELATÓRIO DE GESTÃO FISCAL</t>
  </si>
  <si>
    <t>DEMONSTRATIVO DA DESPESA COM PESSOAL</t>
  </si>
  <si>
    <t>NOVEMBRO/2020 A OUTUBRO/2021</t>
  </si>
  <si>
    <t>RGF - ANEXO I (LRF, art. 55, inciso I, alínea "a")</t>
  </si>
  <si>
    <t>DESPESA COM PESSOAL</t>
  </si>
  <si>
    <t>DESPESAS EXECUTADAS</t>
  </si>
  <si>
    <t>(Últimos 12 Meses)</t>
  </si>
  <si>
    <t>INSCRITAS EM
RESTOS A
PAGAR
NÃO
PROCESSADOS¹</t>
  </si>
  <si>
    <t>DESPESA BRUTA COM PESSOAL (I)</t>
  </si>
  <si>
    <t>Pessoal Ativo</t>
  </si>
  <si>
    <t>Vencimentos, Vantagens e Outras Despesas Variáveis</t>
  </si>
  <si>
    <t>Obrigações Patronais</t>
  </si>
  <si>
    <t>Pessoal Inativo e Pensionistas</t>
  </si>
  <si>
    <t>Aposentadorias, Reserva e Reformas</t>
  </si>
  <si>
    <t>Outras despesas de pessoal decorrentes de contratos de terceirização ou de contratação de forma 
 indireta (§ 1º do art. 18 da LRF)</t>
  </si>
  <si>
    <t>Despesa com Pessoal não Executada Orçamentariamente</t>
  </si>
  <si>
    <t>DESPESAS NÃO COMPUTADAS(II)(§ 1º do art. 19 da LRF)</t>
  </si>
  <si>
    <t>Indenizações por Demissão e Incentivos à Demissão Voluntária</t>
  </si>
  <si>
    <t>Decorrentes de Decisão Judicial de período anterior ao da apuração</t>
  </si>
  <si>
    <t>Despesas de Exercícios Anteriores de período anterior ao da apuração</t>
  </si>
  <si>
    <t>Inativos e Pensionistas com Recursos Vinculados</t>
  </si>
  <si>
    <t>DESPESA LÍQUIDA COM PESSOAL (III) = (I - II)</t>
  </si>
  <si>
    <t>APURAÇÃO DO CUMPRIMENTO DO LIMITE LEGAL</t>
  </si>
  <si>
    <t>% SOBRE A RCL AJUSTADA</t>
  </si>
  <si>
    <t>RECEITA CORRENTE LÍQUIDA - RCL (IV)</t>
  </si>
  <si>
    <t xml:space="preserve"> (-) Transferências obrigatórias da União relativas às emendas individuais (art. 166-A, §1º, da CF) (V)</t>
  </si>
  <si>
    <t xml:space="preserve"> (-) Transferências obrigatórias da União relativas às emendas de bancada (art. 166, § 16 da CF) (VI)</t>
  </si>
  <si>
    <t xml:space="preserve"> = RECEITA CORRENTE LÍQUIDA AJUSTADA PARA CÁLCULO DOS LIMITES DA DESPESA 
    COM PESSOAL (VII) = (IV - V - VI)</t>
  </si>
  <si>
    <t>DESPESA TOTAL COM PESSOAL - DTP (VIII) = (III a + III b)</t>
  </si>
  <si>
    <t>LIMITE MÁXIMO (IX) (incisos I, II e III, art. 20 da LRF)</t>
  </si>
  <si>
    <t>LIMITE PRUDENCIAL (X) = (0,95 x IX) (parágrafo único do art. 22 da LRF)</t>
  </si>
  <si>
    <t xml:space="preserve">LIMITE DE ALERTA (XI) = (0,90 x IX) (inciso II do §1º do art. 59 da LRF) </t>
  </si>
  <si>
    <t>1.Nos demonstrativos elaborados no primeiro e no segundo quadrimestre de cada exercício, os valores de restos a pagar não processados incritos em 31 de dezembro</t>
  </si>
  <si>
    <t>do exercício anterior continuarão a ser informados nesse campo. Esses valores não sofrem alteração pelo seu processamento, e somente no caso de cancelamento</t>
  </si>
  <si>
    <t>podem ser excluídos.</t>
  </si>
  <si>
    <t>Nota:</t>
  </si>
  <si>
    <t>DEMONSTRATIVO DA DÍVIDA CONSOLIDADA LÍQUIDA</t>
  </si>
  <si>
    <t>JANEIRO A AGOSTO DE 2021</t>
  </si>
  <si>
    <t>RGF - ANEXO 2 (LRF, art.55, inciso I, alínea "b")</t>
  </si>
  <si>
    <t>DÍVIDA CONSOLIDADA</t>
  </si>
  <si>
    <t>SALDO DO</t>
  </si>
  <si>
    <t>SALDO DO EXERCÍCIO DE 2021</t>
  </si>
  <si>
    <t>EXERCÍCIO</t>
  </si>
  <si>
    <t>Até o 1º</t>
  </si>
  <si>
    <t>Até o 2º</t>
  </si>
  <si>
    <t>Até o 3º</t>
  </si>
  <si>
    <t>ANTERIOR</t>
  </si>
  <si>
    <t>Quadrimestre</t>
  </si>
  <si>
    <t>DÍVIDA CONSOLIDADA - DC (I)</t>
  </si>
  <si>
    <t>3.034.325,02</t>
  </si>
  <si>
    <t>1.945.165,21</t>
  </si>
  <si>
    <t>Dívida Mobiliária</t>
  </si>
  <si>
    <t>Dívida Contratual</t>
  </si>
  <si>
    <t>1.672.307,53</t>
  </si>
  <si>
    <t>3.032.308,35</t>
  </si>
  <si>
    <t>1.943.148,54</t>
  </si>
  <si>
    <t>Empréstimos</t>
  </si>
  <si>
    <t>Internos</t>
  </si>
  <si>
    <t>Externos</t>
  </si>
  <si>
    <t>Reestruturação da Dívida de Estados e Municípios</t>
  </si>
  <si>
    <t>Financiamentos</t>
  </si>
  <si>
    <t>331.874,78</t>
  </si>
  <si>
    <t>257.598,59</t>
  </si>
  <si>
    <t>133.804,94</t>
  </si>
  <si>
    <t>Parcelamento e Renegociação de dívidas</t>
  </si>
  <si>
    <t>710.433,13</t>
  </si>
  <si>
    <t>2.264.710,18</t>
  </si>
  <si>
    <t>1.419.344,06</t>
  </si>
  <si>
    <t>De Tributos</t>
  </si>
  <si>
    <t>De Contribuições Previdenciárias</t>
  </si>
  <si>
    <t>295.733,47</t>
  </si>
  <si>
    <t>1.851.088,52</t>
  </si>
  <si>
    <t>1.005.722,40</t>
  </si>
  <si>
    <t>De Demais Contribuições Sociais</t>
  </si>
  <si>
    <t>Do FGTS</t>
  </si>
  <si>
    <t>Com Instituição Não Financeira</t>
  </si>
  <si>
    <t>414.699,66</t>
  </si>
  <si>
    <t>413.621,66</t>
  </si>
  <si>
    <t>Demais Dívidas Contratuais</t>
  </si>
  <si>
    <t>629.999,62</t>
  </si>
  <si>
    <t>509.999,58</t>
  </si>
  <si>
    <t>389.999,54</t>
  </si>
  <si>
    <t>Precatórios Posteriores a 05/05/2000 (inclusive) - Vencidos e não pagos</t>
  </si>
  <si>
    <t>2.016,67</t>
  </si>
  <si>
    <t>Outras Dívidas</t>
  </si>
  <si>
    <t>648.189,28</t>
  </si>
  <si>
    <t>638.682,71</t>
  </si>
  <si>
    <t>Disponibilidade de Caixa¹</t>
  </si>
  <si>
    <t>17.599.342,65</t>
  </si>
  <si>
    <t>19.555.192,32</t>
  </si>
  <si>
    <t>(-) Restos a Pagar Processados</t>
  </si>
  <si>
    <t>21.609.656,43</t>
  </si>
  <si>
    <t>20.514.721,35</t>
  </si>
  <si>
    <t>DÍVIDA CONSOLIDADA LÍQUIDA (DCL) (III) = (I - II)</t>
  </si>
  <si>
    <t>2.386.135,74</t>
  </si>
  <si>
    <t>1.306.482,50</t>
  </si>
  <si>
    <t>103.982.991,59</t>
  </si>
  <si>
    <t>106.830.994,15</t>
  </si>
  <si>
    <t>112.478.144,64</t>
  </si>
  <si>
    <t>(-) Transferências obrigatórias da União relativas às emendas individuais 
 (art. 166-A, § 1º, da CF) (V)</t>
  </si>
  <si>
    <t>700.000,00</t>
  </si>
  <si>
    <t>100.000,00</t>
  </si>
  <si>
    <t>RECEITA CORRENTE LÍQUIDA AJUSTADA PARA CÁLCULO DOS LIMITES DE 
 ENDIVIDAMENTO (VI) = (IV - V)</t>
  </si>
  <si>
    <t>103.282.991,59</t>
  </si>
  <si>
    <t>106.730.994,15</t>
  </si>
  <si>
    <t>% da DC sobre a RCL AJUSTADA (I/VI)</t>
  </si>
  <si>
    <t>1,62</t>
  </si>
  <si>
    <t>2,84</t>
  </si>
  <si>
    <t>1,73</t>
  </si>
  <si>
    <t>% da DCL sobre a RCL AJUSTADA (III/VI)</t>
  </si>
  <si>
    <t>2,24</t>
  </si>
  <si>
    <t>1,16</t>
  </si>
  <si>
    <t>LIMITE DEFINIDO POR RESOLUÇÃO DO SENADO FEDERAL - &lt;0,00%&gt;</t>
  </si>
  <si>
    <t>LIMITE DE ALERTA (inciso III do § 1º do art. 59 da LRF) - &lt;0,00%&gt;</t>
  </si>
  <si>
    <t>OUTROS VALORES NÃO INTEGRANTES DA DC</t>
  </si>
  <si>
    <t>PRECATÓRIOS ANTERIORES A 05/05/2000</t>
  </si>
  <si>
    <t>PRECATÓRIOS POSTERIORES A 05/05/2000² (Não incluídos na DCL)</t>
  </si>
  <si>
    <t>732.935,24</t>
  </si>
  <si>
    <t>882.003,14</t>
  </si>
  <si>
    <t>633.565,39</t>
  </si>
  <si>
    <t>PASSIVO ATUARIAL</t>
  </si>
  <si>
    <t>40.372.812,37</t>
  </si>
  <si>
    <t>146.560.621,28</t>
  </si>
  <si>
    <t>INSUFICIÊNCIA FINANCEIRA</t>
  </si>
  <si>
    <t>9.103.557,69</t>
  </si>
  <si>
    <t>4.010.313,78</t>
  </si>
  <si>
    <t>959.529,03</t>
  </si>
  <si>
    <t>DEPÓSITOS E CONSIGNAÇÕES SEM CONTRAPARTIDA</t>
  </si>
  <si>
    <t>1.065.132,70</t>
  </si>
  <si>
    <t>1.091.592,26</t>
  </si>
  <si>
    <t>1.113.669,39</t>
  </si>
  <si>
    <t>RP NÃO-PROCESSADOS</t>
  </si>
  <si>
    <t>2.745.959,05</t>
  </si>
  <si>
    <t>1.815.443,51</t>
  </si>
  <si>
    <t>1.623.352,18</t>
  </si>
  <si>
    <t>ANTECIPAÇÕES DE RECEITA ORÇAMENTÁRIA – ARO</t>
  </si>
  <si>
    <t>DÍVIDA CONTRATUAL DE PPP</t>
  </si>
  <si>
    <t>APROPRIAÇÃO DE DEPÓSITOS JUDICIAIS</t>
  </si>
  <si>
    <t>12.930,40</t>
  </si>
  <si>
    <t>1. Se o saldo apurado for negativo, ou seja, se o total da Disponibilidade de Caixa Bruta for menor que Restos a Pagar Processados, esse saldo negativo</t>
  </si>
  <si>
    <t>não deverá ser informado nessa linha, mas sim na linha da "Insuficiência Financeira", no quadro "Outros Valores não integrantes da Dívida Consolidada".</t>
  </si>
  <si>
    <t>Assim, quando o cálculo de Disponibilidade de Caixa for negativo, o valor dessa linha deverá ser (0) "zero".</t>
  </si>
  <si>
    <t>2. Refere-se aos precatórios posteriores a 05/05/2000 que, em cumprimento ao disposto no artigo 100 da Constituição Federal, ainda não foram</t>
  </si>
  <si>
    <t xml:space="preserve">incluídos no orçamento ou constam no orçamento e ainda não foram pagos. Ao final do exercício em que esses precatórios foram incluídos ou que </t>
  </si>
  <si>
    <t>deveriam ter sido incluídos, os valores deverão compor a linha "Precatórios".</t>
  </si>
  <si>
    <t>Prefeitura Municipal de Cacapava do Sul - RS - Poder Executivo</t>
  </si>
  <si>
    <t>DEMONSTRATIVO DA DISPONIBILIDADE DE CAIXA E DOS RESTOS A PAGAR</t>
  </si>
  <si>
    <t>Janeiro a Outubro 2021</t>
  </si>
  <si>
    <t>RGF – ANEXO 5 (LRF, art. 55, Inciso III, alínea "a")</t>
  </si>
  <si>
    <t>IDENTIFICAÇÃO DOS RECURSOS</t>
  </si>
  <si>
    <t>DISPONIBILIDADE
DE CAIXA BRUTA</t>
  </si>
  <si>
    <t>OBRIGAÇÕES FINANCEIRAS</t>
  </si>
  <si>
    <t>INSUFICIÊNCIA
FINANCEIRA
VERIFICADA NO
CONSÓRCIO
PÚBLICO</t>
  </si>
  <si>
    <t>DISPONIBILIDADE DE CAIXA LÍQUIDA (ANTES DA INSCRIÇÃO EM RESTOS A PAGAR NÃO PROCESSADOS DO EXERCÍCIO)¹</t>
  </si>
  <si>
    <t>RESTOS A PAGAR EMPENHADOS E NÃO LIQUIDADOS DO EXERCÍCIO</t>
  </si>
  <si>
    <t>EMPENHOS NÃO LIQUIDADOS CANCELADOS (NÃO INSCRITOS POR INSUFICIÊNCIA FINANCEIRA)</t>
  </si>
  <si>
    <t>DISPONIBILIDADE DE CAIXA LÍQUIDA (APÓS A INSCRIÇÃO EM RESTOS A PAGAR NÃO PROCESSADOS DO EXERCÍCIO)</t>
  </si>
  <si>
    <t>Restos a Pagar Liquidados e Não Pagos</t>
  </si>
  <si>
    <t>Restos a Pagar Empenhados e Não Liquidados de Exercícios Anteriores</t>
  </si>
  <si>
    <t>Demais Obrigações Financeiras</t>
  </si>
  <si>
    <t>De Exercícios 
Anteriores</t>
  </si>
  <si>
    <t>Do Exercício</t>
  </si>
  <si>
    <t>(g) = (a – (b + c + d + e) - f)</t>
  </si>
  <si>
    <t>(i) = (g - h)</t>
  </si>
  <si>
    <t>TOTAL DOS RECURSOS NÃO VINCULADOS (I)</t>
  </si>
  <si>
    <t>25.119.470,80</t>
  </si>
  <si>
    <t>10.960.351,74</t>
  </si>
  <si>
    <t>153.249,34</t>
  </si>
  <si>
    <t>37.102.972,48</t>
  </si>
  <si>
    <t>(23.097.102,76)</t>
  </si>
  <si>
    <t>Recursos Ordinários</t>
  </si>
  <si>
    <t>Outros Recursos não Vinculados</t>
  </si>
  <si>
    <t>TOTAL DOS RECURSOS VINCULADOS (II)</t>
  </si>
  <si>
    <t>(5.082.309,02)</t>
  </si>
  <si>
    <t>9.182.433,32</t>
  </si>
  <si>
    <t>1.381.616,68</t>
  </si>
  <si>
    <t>(24.018.577,48)</t>
  </si>
  <si>
    <t>8.372.218,46</t>
  </si>
  <si>
    <t>Receitas de Impostos e de Transferência de Impostos - Educação</t>
  </si>
  <si>
    <t>4.005.694,63</t>
  </si>
  <si>
    <t>3.059.436,21</t>
  </si>
  <si>
    <t>99.210,54</t>
  </si>
  <si>
    <t>(256.621,96)</t>
  </si>
  <si>
    <t>1.103.669,84</t>
  </si>
  <si>
    <t>(1.750.002,75)</t>
  </si>
  <si>
    <t>243.502,99</t>
  </si>
  <si>
    <t>258.067,95</t>
  </si>
  <si>
    <t>(2.251.573,69)</t>
  </si>
  <si>
    <t>Outros Recursos Vinculados à Educação</t>
  </si>
  <si>
    <t>4.057.396,34</t>
  </si>
  <si>
    <t>1.750,00</t>
  </si>
  <si>
    <t>4.055.646,34</t>
  </si>
  <si>
    <t>Receitas de Impostos e de Transferência de Impostos - Saúde</t>
  </si>
  <si>
    <t>8.111.942,46</t>
  </si>
  <si>
    <t>5.043.343,87</t>
  </si>
  <si>
    <t>(4.513,23)</t>
  </si>
  <si>
    <t>3.073.111,82</t>
  </si>
  <si>
    <t>Outros Recursos Vinculados à Saúde</t>
  </si>
  <si>
    <t>2.519.398,23</t>
  </si>
  <si>
    <t>10.816,02</t>
  </si>
  <si>
    <t>4.433,64</t>
  </si>
  <si>
    <t>2.502.978,55</t>
  </si>
  <si>
    <t>Recursos Vinculados à Assistência Social</t>
  </si>
  <si>
    <t>715.155,86</t>
  </si>
  <si>
    <t>99.335,24</t>
  </si>
  <si>
    <t>48,00</t>
  </si>
  <si>
    <t>(6.422,81)</t>
  </si>
  <si>
    <t>622.195,43</t>
  </si>
  <si>
    <t>Recursos Vinculados ao RPPS - Plano Previdenciário</t>
  </si>
  <si>
    <t>(4.424.301,61)</t>
  </si>
  <si>
    <t>32.930,90</t>
  </si>
  <si>
    <t>31.848,24</t>
  </si>
  <si>
    <t>(4.489.080,75)</t>
  </si>
  <si>
    <t>Recursos Vinculados ao RPPS - Plano Financeiro</t>
  </si>
  <si>
    <t>Recursos de Operações de Crédito (exceto vinculados à Educação e à Saúde)</t>
  </si>
  <si>
    <t>Recursos de Alienação de Bens/Ativos</t>
  </si>
  <si>
    <t>Outros Recursos Vinculados</t>
  </si>
  <si>
    <t>(18.317.592,18)</t>
  </si>
  <si>
    <t>691.318,09</t>
  </si>
  <si>
    <t>1.281.188,12</t>
  </si>
  <si>
    <t>(24.045.369,31)</t>
  </si>
  <si>
    <t>3.755.270,92</t>
  </si>
  <si>
    <t>TOTAL (III) = (I + II)</t>
  </si>
  <si>
    <t>20.037.161,78</t>
  </si>
  <si>
    <t>20.142.785,06</t>
  </si>
  <si>
    <t>1.534.866,02</t>
  </si>
  <si>
    <t>13.084.395,00</t>
  </si>
  <si>
    <t>(14.724.884,30)</t>
  </si>
  <si>
    <t>1. Essa coluna poderá apresentar valor negativo, indicando, nesse caso, insuficiência de caixa após o registro das obrigações financeiras.</t>
  </si>
  <si>
    <t>FONTE: GOVBR - Responsabilidade Fiscal, SECRETARIA DE MUNICÍPIO DA FAZENDA, 18/Nov/2021, 16h e 20m.</t>
  </si>
  <si>
    <t>PREFEITURA MUNICIPAL DE CACAPAVA DO SUL - RS  -  PODER EXECUTIVO</t>
  </si>
  <si>
    <t>DEMONSTRATIVO SIMPLIFICADO DO RELATÓRIO DE GESTÃO FISCAL</t>
  </si>
  <si>
    <t>2º QUADRIMESTRE DE 2021</t>
  </si>
  <si>
    <t>LRF, Art. 48 - Anexo 6</t>
  </si>
  <si>
    <t>RECEITA CORRENTE LÍQUIDA</t>
  </si>
  <si>
    <t>VALOR ATÉ O QUADRIMESTRE/SEMESTRE</t>
  </si>
  <si>
    <t>Despesa Total com Pessoal DTP</t>
  </si>
  <si>
    <t>Limite Máximo (incisos I,II e III, art. 20 da LRF) - 54,00%</t>
  </si>
  <si>
    <t>Limite Prudencial (§ único, art. 22 da LRF) - 51,30%</t>
  </si>
  <si>
    <t>Limite de Alerta (inciso II do §1º do art. 59 da LRF) - 48,60%</t>
  </si>
  <si>
    <t>VALOR ATÉ O QUADRIMESTRE DE REFERÊNCIA</t>
  </si>
  <si>
    <t>Dívida Consolidada Líquida</t>
  </si>
  <si>
    <t>Limite Definido por Resolução do Senado Federal</t>
  </si>
  <si>
    <t>GARANTIAS DE VALORES</t>
  </si>
  <si>
    <t>Total das Garantias Concedidas</t>
  </si>
  <si>
    <t>OPERAÇÕES DE CRÉDITO</t>
  </si>
  <si>
    <t>Operações de Crédito Internas e Externas</t>
  </si>
  <si>
    <t>Limite Definido pelo Senado Federal para Operações de</t>
  </si>
  <si>
    <t>Operações de Crédito por Antecipação da Receita</t>
  </si>
  <si>
    <t>Crédito por Antecipação da Receita</t>
  </si>
  <si>
    <t>²Receita Corrente Líquida Ajustada para Cálculo dos Limites da Despesa com Pessoal</t>
  </si>
  <si>
    <t>¹Receita Corrente líquida</t>
  </si>
  <si>
    <t>4ª - Percentual da Despesa Corrente sobre a Receita a Receita Corrente, exceto a Receita Intra-Orçamentária:</t>
  </si>
  <si>
    <t>Fonte: Demonstrativo da Despesa Orçamentária Empenhada e liquidada ao Mês e a Metodologia a  fonte é o TCE/RS.</t>
  </si>
  <si>
    <t>¹Nota Explicativa: O Valor da RCL deste Demonstrativo foi apurada pela Contabilidade, a RCL gerada pelo Sistema GOVBR Foi de R$ 112.478.144,64 e  não foi deduzidos todos os valores das Emendandas Parlamentares no período.</t>
  </si>
  <si>
    <t>Nota Explicativa: Nos Meses de julho e agosto de 2021 foi retificado os campos: "31 - Pessoal e Encargos Sociais" e "Cálculo Despesa c/ Pessoal 1º e 2º Quadrimestre/1º Semestre: Emp. Não Liquidados"  este ajuste impactou em 0,11% a menos o indice da Despesa em outubro, após a retificação.</t>
  </si>
  <si>
    <t>(sete por cento) da receita corrente líquida, definida no art. 4, observado o disposto nos arts. 14 e 15, nos termos do art. 3º da Resolução nº 3, de 2002.</t>
  </si>
  <si>
    <t>Página 1 de 3</t>
  </si>
  <si>
    <t>Balanço Orçamentário</t>
  </si>
  <si>
    <t>RREO - Anexo 1 (LRF, Art. 52, inciso I, alineas "a" e "b" do inciso II e §1º)</t>
  </si>
  <si>
    <t>SALDO
(a-c)</t>
  </si>
  <si>
    <t>No Bimestre
(b)</t>
  </si>
  <si>
    <t>%
(b/a)</t>
  </si>
  <si>
    <t>Até o Bimestre
(c)</t>
  </si>
  <si>
    <t>%
(c/a)</t>
  </si>
  <si>
    <t>RECEITAS (EXCETO INTRAORÇAMENTÁRIAS) (I)</t>
  </si>
  <si>
    <t>122.816.285,74</t>
  </si>
  <si>
    <t>130.063.835,39</t>
  </si>
  <si>
    <t>19.982.109,31</t>
  </si>
  <si>
    <t>15,36</t>
  </si>
  <si>
    <t>98.579.231,97</t>
  </si>
  <si>
    <t>75,79</t>
  </si>
  <si>
    <t>31.484.603,42</t>
  </si>
  <si>
    <t>121.126.571,23</t>
  </si>
  <si>
    <t>19.814.744,80</t>
  </si>
  <si>
    <t>15,44</t>
  </si>
  <si>
    <t>76,13</t>
  </si>
  <si>
    <t>30.641.667,02</t>
  </si>
  <si>
    <t>2.367.384,31</t>
  </si>
  <si>
    <t>14,21</t>
  </si>
  <si>
    <t>66,51</t>
  </si>
  <si>
    <t>5.579.575,92</t>
  </si>
  <si>
    <t>Impostos</t>
  </si>
  <si>
    <t>2.281.112,03</t>
  </si>
  <si>
    <t>15,92</t>
  </si>
  <si>
    <t>3.752.688,15</t>
  </si>
  <si>
    <t>Taxas</t>
  </si>
  <si>
    <t>1.336.827,53</t>
  </si>
  <si>
    <t>84.295,02</t>
  </si>
  <si>
    <t>6,31</t>
  </si>
  <si>
    <t>504.211,23</t>
  </si>
  <si>
    <t>37,72</t>
  </si>
  <si>
    <t>832.616,30</t>
  </si>
  <si>
    <t>Contribuição de Melhoria</t>
  </si>
  <si>
    <t>996.249,16</t>
  </si>
  <si>
    <t>1.977,26</t>
  </si>
  <si>
    <t>0,20</t>
  </si>
  <si>
    <t>1.977,69</t>
  </si>
  <si>
    <t>994.271,47</t>
  </si>
  <si>
    <t>1.254.294,91</t>
  </si>
  <si>
    <t>19,25</t>
  </si>
  <si>
    <t>95,49</t>
  </si>
  <si>
    <t>293.996,16</t>
  </si>
  <si>
    <t>Contribuições Sociais</t>
  </si>
  <si>
    <t>5.583.836,41</t>
  </si>
  <si>
    <t>1.066.166,41</t>
  </si>
  <si>
    <t>19,09</t>
  </si>
  <si>
    <t>5.348.030,37</t>
  </si>
  <si>
    <t>95,78</t>
  </si>
  <si>
    <t>235.806,04</t>
  </si>
  <si>
    <t>Contribuição para o Custeio do Serviço de Iluminação Pública</t>
  </si>
  <si>
    <t>931.730,84</t>
  </si>
  <si>
    <t>188.128,50</t>
  </si>
  <si>
    <t>20,19</t>
  </si>
  <si>
    <t>873.540,72</t>
  </si>
  <si>
    <t>93,75</t>
  </si>
  <si>
    <t>58.190,12</t>
  </si>
  <si>
    <t>227.506,53</t>
  </si>
  <si>
    <t>3,54</t>
  </si>
  <si>
    <t>11,56</t>
  </si>
  <si>
    <t>5.678.622,69</t>
  </si>
  <si>
    <t>Exploração do Patrimônio Imobiliário do Estado</t>
  </si>
  <si>
    <t>7.871,78</t>
  </si>
  <si>
    <t>5,02</t>
  </si>
  <si>
    <t>10,12</t>
  </si>
  <si>
    <t>141.054,17</t>
  </si>
  <si>
    <t>Valores Mobiliários</t>
  </si>
  <si>
    <t>219.634,75</t>
  </si>
  <si>
    <t>3,51</t>
  </si>
  <si>
    <t>11,60</t>
  </si>
  <si>
    <t>5.537.568,52</t>
  </si>
  <si>
    <t>3.678,40</t>
  </si>
  <si>
    <t>0,91</t>
  </si>
  <si>
    <t>60.510,01</t>
  </si>
  <si>
    <t>15,01</t>
  </si>
  <si>
    <t>342.726,69</t>
  </si>
  <si>
    <t>74.838,91</t>
  </si>
  <si>
    <t>15,74</t>
  </si>
  <si>
    <t>358.168,73</t>
  </si>
  <si>
    <t>75,31</t>
  </si>
  <si>
    <t>117.397,63</t>
  </si>
  <si>
    <t>Serviços e Atividades Referentes à Saúde</t>
  </si>
  <si>
    <t>83.773.000,01</t>
  </si>
  <si>
    <t>15.306.884,67</t>
  </si>
  <si>
    <t>16,82</t>
  </si>
  <si>
    <t>85,02</t>
  </si>
  <si>
    <t>13.638.191,06</t>
  </si>
  <si>
    <t>Transferências da União e de suas Entidades</t>
  </si>
  <si>
    <t>32.545.737,49</t>
  </si>
  <si>
    <t>33.403.243,52</t>
  </si>
  <si>
    <t>6.239.811,50</t>
  </si>
  <si>
    <t>18,68</t>
  </si>
  <si>
    <t>27.454.720,57</t>
  </si>
  <si>
    <t>82,19</t>
  </si>
  <si>
    <t>5.948.522,95</t>
  </si>
  <si>
    <t>Transf dos Estados e do Distrito Federal e de suas Entidades</t>
  </si>
  <si>
    <t>28.750.978,52</t>
  </si>
  <si>
    <t>28.861.295,86</t>
  </si>
  <si>
    <t>5.077.402,29</t>
  </si>
  <si>
    <t>17,59</t>
  </si>
  <si>
    <t>28.076.746,43</t>
  </si>
  <si>
    <t>97,28</t>
  </si>
  <si>
    <t>784.549,43</t>
  </si>
  <si>
    <t>Transferências dos Municípios e de suas Entidades</t>
  </si>
  <si>
    <t>3.100.000,00</t>
  </si>
  <si>
    <t>5.608,14</t>
  </si>
  <si>
    <t>0,18</t>
  </si>
  <si>
    <t>28.040,70</t>
  </si>
  <si>
    <t>0,90</t>
  </si>
  <si>
    <t>3.071.959,30</t>
  </si>
  <si>
    <t>Transferências de Instituições Privadas</t>
  </si>
  <si>
    <t>Transferências de Outras Instituições Públicas</t>
  </si>
  <si>
    <t>19.076.280,00</t>
  </si>
  <si>
    <t>3.984.062,74</t>
  </si>
  <si>
    <t>15,71</t>
  </si>
  <si>
    <t>86,05</t>
  </si>
  <si>
    <t>3.537.005,38</t>
  </si>
  <si>
    <t>Transferências de Pessoas Físicas</t>
  </si>
  <si>
    <t>300.000,00</t>
  </si>
  <si>
    <t>3.850,00</t>
  </si>
  <si>
    <t>1,28</t>
  </si>
  <si>
    <t>296.150,00</t>
  </si>
  <si>
    <t>580.157,07</t>
  </si>
  <si>
    <t>8,44</t>
  </si>
  <si>
    <t>1.886.223,18</t>
  </si>
  <si>
    <t>27,43</t>
  </si>
  <si>
    <t>4.991.156,87</t>
  </si>
  <si>
    <t>Multas Administrativas, Contratuais e Judiciais</t>
  </si>
  <si>
    <t>22.510,62</t>
  </si>
  <si>
    <t>28,14</t>
  </si>
  <si>
    <t>61.308,93</t>
  </si>
  <si>
    <t>76,64</t>
  </si>
  <si>
    <t>18.691,07</t>
  </si>
  <si>
    <t>Indenizações, Restituições e Ressarcimentos</t>
  </si>
  <si>
    <t>3.720.664,90</t>
  </si>
  <si>
    <t>165.950,76</t>
  </si>
  <si>
    <t>4,46</t>
  </si>
  <si>
    <t>207.003,99</t>
  </si>
  <si>
    <t>5,56</t>
  </si>
  <si>
    <t>3.513.660,91</t>
  </si>
  <si>
    <t>3.076.715,15</t>
  </si>
  <si>
    <t>391.695,69</t>
  </si>
  <si>
    <t>12,73</t>
  </si>
  <si>
    <t>1.617.910,26</t>
  </si>
  <si>
    <t>52,59</t>
  </si>
  <si>
    <t>1.458.804,89</t>
  </si>
  <si>
    <t>Receitas de Capital</t>
  </si>
  <si>
    <t>1.689.714,51</t>
  </si>
  <si>
    <t>167.364,51</t>
  </si>
  <si>
    <t>9,90</t>
  </si>
  <si>
    <t>50,16</t>
  </si>
  <si>
    <t>842.936,40</t>
  </si>
  <si>
    <t>0,88</t>
  </si>
  <si>
    <t>59.472,30</t>
  </si>
  <si>
    <t>156.857,14</t>
  </si>
  <si>
    <t>9,69</t>
  </si>
  <si>
    <t>50,56</t>
  </si>
  <si>
    <t>800.340,82</t>
  </si>
  <si>
    <t>1.598.818,66</t>
  </si>
  <si>
    <t>9,81</t>
  </si>
  <si>
    <t>48,07</t>
  </si>
  <si>
    <t>830.340,82</t>
  </si>
  <si>
    <t>250,00</t>
  </si>
  <si>
    <t>(30.000,00)</t>
  </si>
  <si>
    <t>10.895,85</t>
  </si>
  <si>
    <t>10.507,37</t>
  </si>
  <si>
    <t>84,25</t>
  </si>
  <si>
    <t>235,33</t>
  </si>
  <si>
    <t>(16.876,72)</t>
  </si>
  <si>
    <t>Demais Receitas de Capital</t>
  </si>
  <si>
    <t>Receitas de Capital Intraorçamentárias</t>
  </si>
  <si>
    <t>16.100,00</t>
  </si>
  <si>
    <t>RECEITAS (INTRAORÇAMENTÁRIAS) (II)</t>
  </si>
  <si>
    <t>17.545.424,53</t>
  </si>
  <si>
    <t>4.144.322,91</t>
  </si>
  <si>
    <t>23,62</t>
  </si>
  <si>
    <t>21.382.465,98</t>
  </si>
  <si>
    <t>121,87</t>
  </si>
  <si>
    <t>(3.837.041,45)</t>
  </si>
  <si>
    <t>SUBTOTAL DAS RECEITAS (III) = (I + II)</t>
  </si>
  <si>
    <t>140.361.710,27</t>
  </si>
  <si>
    <t>147.609.259,92</t>
  </si>
  <si>
    <t>24.126.432,22</t>
  </si>
  <si>
    <t>16,34</t>
  </si>
  <si>
    <t>81,27</t>
  </si>
  <si>
    <t>27.647.561,97</t>
  </si>
  <si>
    <t>FONTE: GOVBR - Responsabilidade Fiscal, SECRETARIA DE MUNICÍPIO DA FAZENDA, 25/Nov/2021, 10h e 31m.</t>
  </si>
  <si>
    <t>Página 2 de 3</t>
  </si>
  <si>
    <t>OPERAÇÕES DE CRÉDITO / REFINANCIAMENTO (IV)</t>
  </si>
  <si>
    <t>Operações de Crédito - Mercado Interno</t>
  </si>
  <si>
    <t>Operações de Crédito - Mercado Externo</t>
  </si>
  <si>
    <t>TOTAL DAS RECEITAS (V) = (III + IV)</t>
  </si>
  <si>
    <t>DÉFICIT (VI)¹</t>
  </si>
  <si>
    <t>TOTAL COM DÉFICIT (VII) = (V + VI)</t>
  </si>
  <si>
    <t>SALDOS DE EXERCÍCIOS ANTERIORES</t>
  </si>
  <si>
    <t>Superávit Financeiro Utilizado para Créditos Adicionais</t>
  </si>
  <si>
    <t>DOTAÇÃO
INICIAL
(d)</t>
  </si>
  <si>
    <t>DOTAÇÃO ATUALIZADA
(e)</t>
  </si>
  <si>
    <t>SALDO
(g)=(e-f)</t>
  </si>
  <si>
    <t>SALDO
(i)=(e-h)</t>
  </si>
  <si>
    <t>DESPESAS PAGAS ATÉ O BIMESTRE
(j)</t>
  </si>
  <si>
    <t>INSCRITAS EM RESTOS A PAGAR NÃO PROCESSADOS
(k)</t>
  </si>
  <si>
    <t>Até o Bimestre
(f)</t>
  </si>
  <si>
    <t>Até o Bimestre
(h)</t>
  </si>
  <si>
    <t>DESPESAS (EXCETO INTRAORÇAMENTÁRIAS) (VIII)</t>
  </si>
  <si>
    <t>110.886.712,01</t>
  </si>
  <si>
    <t>125.621.292,61</t>
  </si>
  <si>
    <t>18.529.558,84</t>
  </si>
  <si>
    <t>93.080.748,10</t>
  </si>
  <si>
    <t>32.540.544,51</t>
  </si>
  <si>
    <t>18.563.647,39</t>
  </si>
  <si>
    <t>88.625.024,08</t>
  </si>
  <si>
    <t>36.996.268,53</t>
  </si>
  <si>
    <t>85.486.976,32</t>
  </si>
  <si>
    <t>DESPESAS CORRENTES</t>
  </si>
  <si>
    <t>106.197.640,80</t>
  </si>
  <si>
    <t>18.459.038,51</t>
  </si>
  <si>
    <t>26.586.721,16</t>
  </si>
  <si>
    <t>18.412.875,75</t>
  </si>
  <si>
    <t>30.609.315,17</t>
  </si>
  <si>
    <t>PESSOAL E ENCARGOS SOCIAIS</t>
  </si>
  <si>
    <t>73.555.477,31</t>
  </si>
  <si>
    <t>11.338.899,93</t>
  </si>
  <si>
    <t>19.833.008,66</t>
  </si>
  <si>
    <t>11.354.278,84</t>
  </si>
  <si>
    <t>19.890.279,14</t>
  </si>
  <si>
    <t>JUROS E ENCARGOS DA DÍVIDA</t>
  </si>
  <si>
    <t>48.629,00</t>
  </si>
  <si>
    <t>9.575,16</t>
  </si>
  <si>
    <t>11.158,24</t>
  </si>
  <si>
    <t>20.733,40</t>
  </si>
  <si>
    <t>OUTRAS DESPESAS CORRENTES</t>
  </si>
  <si>
    <t>32.593.534,49</t>
  </si>
  <si>
    <t>7.120.138,58</t>
  </si>
  <si>
    <t>6.744.137,34</t>
  </si>
  <si>
    <t>7.047.438,67</t>
  </si>
  <si>
    <t>10.698.302,63</t>
  </si>
  <si>
    <t>3.375.300,70</t>
  </si>
  <si>
    <t>70.520,33</t>
  </si>
  <si>
    <t>5.944.839,17</t>
  </si>
  <si>
    <t>150.771,64</t>
  </si>
  <si>
    <t>6.377.969,18</t>
  </si>
  <si>
    <t>INVESTIMENTOS</t>
  </si>
  <si>
    <t>3.113.464,32</t>
  </si>
  <si>
    <t>6.365.564,80</t>
  </si>
  <si>
    <t>INVERSÕES FINANCEIRAS</t>
  </si>
  <si>
    <t>12.563,00</t>
  </si>
  <si>
    <t>AMORTIZAÇÃO DA DÍVIDA</t>
  </si>
  <si>
    <t>249.273,38</t>
  </si>
  <si>
    <t>RESERVA DE CONTINGÊNCIA</t>
  </si>
  <si>
    <t>1.313.770,51</t>
  </si>
  <si>
    <t>DESPESAS (INTRAORÇAMENTÁRIAS) (IX)</t>
  </si>
  <si>
    <t>26.505.978,60</t>
  </si>
  <si>
    <t>26.738.568,83</t>
  </si>
  <si>
    <t>3.716.360,10</t>
  </si>
  <si>
    <t>18.700.496,38</t>
  </si>
  <si>
    <t>8.038.072,45</t>
  </si>
  <si>
    <t>16.911.460,40</t>
  </si>
  <si>
    <t>SUBTOTAL DAS DESPESAS (X) = (VIII + IX)</t>
  </si>
  <si>
    <t>137.392.690,61</t>
  </si>
  <si>
    <t>152.359.861,44</t>
  </si>
  <si>
    <t>22.245.918,94</t>
  </si>
  <si>
    <t>40.578.616,96</t>
  </si>
  <si>
    <t>22.280.007,49</t>
  </si>
  <si>
    <t>45.034.340,98</t>
  </si>
  <si>
    <t>AMORTIZAÇÃO DA DÍV. / REFINANCIAMENTO (XI)</t>
  </si>
  <si>
    <t>Amortização da Dívida Interna</t>
  </si>
  <si>
    <t>Amortização da Dívida Externa</t>
  </si>
  <si>
    <t>TOTAL DAS DESPESAS (XII) = (X + XI)</t>
  </si>
  <si>
    <t>SUPERÁVIT (XIII)</t>
  </si>
  <si>
    <t>8.180.453,47</t>
  </si>
  <si>
    <t>12.636.177,49</t>
  </si>
  <si>
    <t>17.563.261,23</t>
  </si>
  <si>
    <t>TOTAL COM SUPERÁVIT (XIV) = (XII + XIII)</t>
  </si>
  <si>
    <t>RESERVA DO RPPS</t>
  </si>
  <si>
    <t>Página 3 de 3</t>
  </si>
  <si>
    <t>RECEITAS INTRAORÇAMENTÁRIAS</t>
  </si>
  <si>
    <t>Receitas Correntes Intraorçamentárias</t>
  </si>
  <si>
    <t>17.003.424,53</t>
  </si>
  <si>
    <t>24,37</t>
  </si>
  <si>
    <t>21.360.394,49</t>
  </si>
  <si>
    <t>(4.356.969,96)</t>
  </si>
  <si>
    <t>7.617.038,59</t>
  </si>
  <si>
    <t>1.947.547,55</t>
  </si>
  <si>
    <t>25,57</t>
  </si>
  <si>
    <t>9.747.752,40</t>
  </si>
  <si>
    <t>(2.130.713,81)</t>
  </si>
  <si>
    <t>2.196.775,36</t>
  </si>
  <si>
    <t>23,40</t>
  </si>
  <si>
    <t>(2.226.256,15)</t>
  </si>
  <si>
    <t>542.000,00</t>
  </si>
  <si>
    <t>22.071,49</t>
  </si>
  <si>
    <t>519.928,51</t>
  </si>
  <si>
    <t>DESPESAS INTRAORÇAMENTÁRIAS</t>
  </si>
  <si>
    <t>26.505.934,60</t>
  </si>
  <si>
    <t>26.738.524,83</t>
  </si>
  <si>
    <t>8.038.028,45</t>
  </si>
  <si>
    <t>24.634.803,56</t>
  </si>
  <si>
    <t>24.775.890,83</t>
  </si>
  <si>
    <t>3.430.798,10</t>
  </si>
  <si>
    <t>17.347.875,41</t>
  </si>
  <si>
    <t>7.428.015,42</t>
  </si>
  <si>
    <t>15.691.740,95</t>
  </si>
  <si>
    <t>2,00</t>
  </si>
  <si>
    <t>1.871.129,04</t>
  </si>
  <si>
    <t>1.962.632,00</t>
  </si>
  <si>
    <t>285.562,00</t>
  </si>
  <si>
    <t>1.352.620,97</t>
  </si>
  <si>
    <t>610.011,03</t>
  </si>
  <si>
    <t>1.219.719,45</t>
  </si>
  <si>
    <t>44,00</t>
  </si>
  <si>
    <t>1 O déficit será apurado pela diferença entre a receita realizada e a despesa liquidada nos cinco primeiros bimestres e a despesa empenhada no último bimestre.</t>
  </si>
  <si>
    <t>Art. 7º  ... I - o montante global das operações realizadas em um exercício financeiro não poderá ser superior a 16% (dezesseis por cento) da receita corrente líquida, definida no art. 4;</t>
  </si>
  <si>
    <t xml:space="preserve">Art. 10. O saldo devedor das operações de crédito por antecipação de receita orçamentária não poderá exceder, no exercício em que estiver sendo apurado, a 7% </t>
  </si>
  <si>
    <t>RESOLUÇÃO Nº 43, DE 2001</t>
  </si>
  <si>
    <t>Art. 48. Para efeito do disposto no art. 2º da Lei nº 8.727, de 5 de novembro de 1993, é fixado o limite de 11% (onze por cento) da receita líquida real, conforme definida no parágrafo único do art. 2º da Lei nº 9.496, de 1997.</t>
  </si>
  <si>
    <t>Nota Explicativa:  Do total dos recursos não Vinculados o valor de R$ 18.628.445,82 são de restos Intraorçamentários programados para ser quitados em parcelas mensais por um longo prazo.</t>
  </si>
</sst>
</file>

<file path=xl/styles.xml><?xml version="1.0" encoding="utf-8"?>
<styleSheet xmlns="http://schemas.openxmlformats.org/spreadsheetml/2006/main">
  <numFmts count="8">
    <numFmt numFmtId="43" formatCode="_ * #,##0.00_ ;_ * \-#,##0.00_ ;_ * &quot;-&quot;??_ ;_ @_ "/>
    <numFmt numFmtId="164" formatCode="_(* #,##0.00_);_(* \(#,##0.00\);_(* &quot;-&quot;??_);_(@_)"/>
    <numFmt numFmtId="165" formatCode="###,###,###,##0.00"/>
    <numFmt numFmtId="166" formatCode="##0.00"/>
    <numFmt numFmtId="167" formatCode="###0.00"/>
    <numFmt numFmtId="168" formatCode="#,##0.00;\(#,##0.00\)"/>
    <numFmt numFmtId="169" formatCode="_(\ #,##0.00_);_(\ \-#,##0.00_);_(\ \-\ ??_);_(@_)"/>
    <numFmt numFmtId="170" formatCode="&quot;R$&quot;#,##0.00;\(&quot;R$&quot;#,##0.00\)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Arial"/>
      <family val="2"/>
    </font>
    <font>
      <sz val="10"/>
      <name val="Arial"/>
      <family val="2"/>
    </font>
    <font>
      <sz val="6"/>
      <color indexed="8"/>
      <name val="Arial"/>
      <family val="2"/>
    </font>
    <font>
      <b/>
      <sz val="6"/>
      <color theme="1"/>
      <name val="Calibri"/>
      <family val="2"/>
      <scheme val="minor"/>
    </font>
    <font>
      <sz val="8"/>
      <name val="Arial"/>
      <family val="2"/>
    </font>
    <font>
      <sz val="8"/>
      <color indexed="63"/>
      <name val="Times New Roman"/>
      <family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</font>
    <font>
      <b/>
      <sz val="6"/>
      <name val="Arial"/>
      <family val="2"/>
    </font>
    <font>
      <sz val="6"/>
      <color rgb="FFFF0000"/>
      <name val="Arial"/>
      <family val="2"/>
    </font>
    <font>
      <u/>
      <sz val="6"/>
      <name val="Arial"/>
      <family val="2"/>
    </font>
    <font>
      <b/>
      <u/>
      <sz val="6"/>
      <name val="Arial"/>
      <family val="2"/>
    </font>
    <font>
      <b/>
      <u/>
      <sz val="6"/>
      <color rgb="FFFF0000"/>
      <name val="Arial"/>
      <family val="2"/>
    </font>
    <font>
      <u/>
      <sz val="6"/>
      <color rgb="FFFF0000"/>
      <name val="Arial"/>
      <family val="2"/>
    </font>
    <font>
      <b/>
      <sz val="8"/>
      <color rgb="FFFF0000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sz val="7"/>
      <color rgb="FFFF0000"/>
      <name val="Arial"/>
      <family val="2"/>
    </font>
    <font>
      <sz val="6"/>
      <color indexed="8"/>
      <name val="Calibri"/>
      <family val="2"/>
    </font>
    <font>
      <b/>
      <sz val="6"/>
      <color indexed="8"/>
      <name val="Calibri"/>
      <family val="2"/>
    </font>
    <font>
      <b/>
      <sz val="9"/>
      <name val="Arial"/>
      <family val="2"/>
    </font>
    <font>
      <b/>
      <sz val="7"/>
      <name val="Arial"/>
      <family val="2"/>
    </font>
    <font>
      <b/>
      <u/>
      <sz val="8"/>
      <name val="Times New Roman"/>
      <family val="1"/>
    </font>
    <font>
      <b/>
      <u val="singleAccounting"/>
      <sz val="8"/>
      <name val="Times New Roman"/>
      <family val="1"/>
    </font>
    <font>
      <sz val="9"/>
      <name val="Arial"/>
      <family val="2"/>
    </font>
    <font>
      <sz val="12"/>
      <name val="Arial"/>
      <family val="2"/>
    </font>
    <font>
      <sz val="6"/>
      <name val="Calibri"/>
      <family val="2"/>
    </font>
    <font>
      <b/>
      <sz val="6"/>
      <color rgb="FFFF0000"/>
      <name val="Calibri"/>
      <family val="2"/>
      <scheme val="minor"/>
    </font>
    <font>
      <sz val="6"/>
      <color indexed="63"/>
      <name val="Times New Roman"/>
      <family val="1"/>
    </font>
    <font>
      <b/>
      <sz val="6"/>
      <color rgb="FF000000"/>
      <name val="Calibri"/>
      <family val="2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rgb="FFFF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rgb="FF0070C0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  <charset val="1"/>
    </font>
    <font>
      <b/>
      <sz val="8"/>
      <color rgb="FF000000"/>
      <name val="Arial"/>
    </font>
    <font>
      <b/>
      <sz val="6"/>
      <color rgb="FF000000"/>
      <name val="Arial"/>
      <charset val="1"/>
    </font>
    <font>
      <sz val="6"/>
      <color rgb="FF000000"/>
      <name val="Arial"/>
      <charset val="1"/>
    </font>
    <font>
      <sz val="8"/>
      <color rgb="FF000000"/>
      <name val="Arial"/>
      <charset val="1"/>
    </font>
    <font>
      <b/>
      <sz val="6"/>
      <color rgb="FF000000"/>
      <name val="Arial"/>
    </font>
    <font>
      <sz val="6"/>
      <color rgb="FF000000"/>
      <name val="Arial"/>
    </font>
    <font>
      <sz val="6"/>
      <color rgb="FF000000"/>
      <name val="Arial Narrow"/>
    </font>
    <font>
      <sz val="6"/>
      <color rgb="FF000000"/>
      <name val="Arial"/>
      <family val="2"/>
    </font>
    <font>
      <b/>
      <sz val="6"/>
      <color rgb="FF000000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rgb="FF000000"/>
      <name val="Arial"/>
      <charset val="1"/>
    </font>
    <font>
      <sz val="7"/>
      <color rgb="FF000000"/>
      <name val="Times New Roman"/>
      <charset val="1"/>
    </font>
    <font>
      <b/>
      <u/>
      <sz val="7"/>
      <color rgb="FF000000"/>
      <name val="Times New Roman"/>
      <charset val="1"/>
    </font>
    <font>
      <b/>
      <sz val="7"/>
      <color rgb="FF000000"/>
      <name val="Times New Roman"/>
      <charset val="1"/>
    </font>
    <font>
      <b/>
      <sz val="7"/>
      <color rgb="FF000000"/>
      <name val="Arial"/>
      <charset val="1"/>
    </font>
    <font>
      <b/>
      <u/>
      <sz val="8"/>
      <color theme="1"/>
      <name val="Calibri"/>
      <family val="2"/>
      <scheme val="minor"/>
    </font>
    <font>
      <b/>
      <u/>
      <sz val="6"/>
      <color rgb="FF000000"/>
      <name val="Arial"/>
    </font>
    <font>
      <sz val="8"/>
      <color rgb="FFFFFFFF"/>
      <name val="Arial"/>
      <charset val="1"/>
    </font>
    <font>
      <sz val="7"/>
      <color theme="1"/>
      <name val="Calibri"/>
      <family val="2"/>
      <scheme val="minor"/>
    </font>
    <font>
      <b/>
      <u/>
      <sz val="6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D8D8D8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E3E3E3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indexed="9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1260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6" xfId="0" applyFont="1" applyBorder="1" applyAlignment="1">
      <alignment horizontal="center"/>
    </xf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3" fillId="0" borderId="1" xfId="0" applyFont="1" applyBorder="1"/>
    <xf numFmtId="0" fontId="5" fillId="0" borderId="1" xfId="0" applyFont="1" applyBorder="1"/>
    <xf numFmtId="0" fontId="2" fillId="0" borderId="11" xfId="0" applyFont="1" applyBorder="1"/>
    <xf numFmtId="0" fontId="2" fillId="0" borderId="13" xfId="0" applyFont="1" applyBorder="1"/>
    <xf numFmtId="43" fontId="2" fillId="0" borderId="1" xfId="1" applyFont="1" applyBorder="1"/>
    <xf numFmtId="0" fontId="3" fillId="0" borderId="1" xfId="0" applyFont="1" applyBorder="1" applyAlignment="1">
      <alignment horizontal="center"/>
    </xf>
    <xf numFmtId="0" fontId="9" fillId="0" borderId="1" xfId="0" applyFont="1" applyBorder="1"/>
    <xf numFmtId="43" fontId="3" fillId="0" borderId="1" xfId="1" applyFont="1" applyBorder="1"/>
    <xf numFmtId="43" fontId="3" fillId="0" borderId="1" xfId="0" applyNumberFormat="1" applyFont="1" applyBorder="1"/>
    <xf numFmtId="43" fontId="2" fillId="0" borderId="1" xfId="0" applyNumberFormat="1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0" borderId="2" xfId="0" applyFont="1" applyBorder="1"/>
    <xf numFmtId="0" fontId="5" fillId="0" borderId="3" xfId="0" applyFont="1" applyBorder="1"/>
    <xf numFmtId="0" fontId="9" fillId="0" borderId="0" xfId="0" applyFont="1"/>
    <xf numFmtId="0" fontId="5" fillId="0" borderId="19" xfId="0" applyFont="1" applyBorder="1"/>
    <xf numFmtId="0" fontId="5" fillId="0" borderId="8" xfId="0" applyFont="1" applyBorder="1"/>
    <xf numFmtId="0" fontId="5" fillId="0" borderId="11" xfId="0" applyFont="1" applyBorder="1"/>
    <xf numFmtId="0" fontId="5" fillId="0" borderId="17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18" xfId="0" applyFont="1" applyBorder="1"/>
    <xf numFmtId="0" fontId="9" fillId="0" borderId="2" xfId="0" applyFont="1" applyBorder="1"/>
    <xf numFmtId="0" fontId="9" fillId="0" borderId="19" xfId="0" applyFont="1" applyBorder="1"/>
    <xf numFmtId="0" fontId="9" fillId="0" borderId="3" xfId="0" applyFont="1" applyBorder="1"/>
    <xf numFmtId="0" fontId="5" fillId="0" borderId="0" xfId="0" applyFont="1" applyBorder="1"/>
    <xf numFmtId="0" fontId="9" fillId="0" borderId="13" xfId="0" applyFont="1" applyBorder="1"/>
    <xf numFmtId="0" fontId="9" fillId="0" borderId="0" xfId="0" applyFont="1" applyBorder="1"/>
    <xf numFmtId="17" fontId="6" fillId="0" borderId="20" xfId="0" applyNumberFormat="1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9" fillId="0" borderId="9" xfId="0" applyFont="1" applyBorder="1"/>
    <xf numFmtId="0" fontId="6" fillId="0" borderId="18" xfId="0" applyFont="1" applyBorder="1" applyAlignment="1">
      <alignment horizontal="center"/>
    </xf>
    <xf numFmtId="17" fontId="6" fillId="0" borderId="8" xfId="0" applyNumberFormat="1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7" fontId="6" fillId="0" borderId="17" xfId="0" applyNumberFormat="1" applyFont="1" applyBorder="1" applyAlignment="1">
      <alignment horizontal="center"/>
    </xf>
    <xf numFmtId="164" fontId="6" fillId="0" borderId="1" xfId="1" applyNumberFormat="1" applyFont="1" applyBorder="1"/>
    <xf numFmtId="164" fontId="9" fillId="0" borderId="9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43" fontId="9" fillId="0" borderId="1" xfId="1" applyFont="1" applyBorder="1"/>
    <xf numFmtId="43" fontId="9" fillId="0" borderId="1" xfId="0" applyNumberFormat="1" applyFont="1" applyBorder="1"/>
    <xf numFmtId="43" fontId="5" fillId="0" borderId="1" xfId="1" applyFont="1" applyBorder="1"/>
    <xf numFmtId="0" fontId="6" fillId="0" borderId="2" xfId="0" applyFont="1" applyBorder="1" applyAlignment="1">
      <alignment horizontal="left" wrapText="1"/>
    </xf>
    <xf numFmtId="0" fontId="6" fillId="0" borderId="2" xfId="0" applyFont="1" applyBorder="1" applyAlignment="1">
      <alignment wrapText="1"/>
    </xf>
    <xf numFmtId="0" fontId="10" fillId="0" borderId="0" xfId="0" applyFont="1" applyProtection="1">
      <protection hidden="1"/>
    </xf>
    <xf numFmtId="0" fontId="11" fillId="0" borderId="0" xfId="0" applyFont="1" applyAlignment="1">
      <alignment horizontal="center"/>
    </xf>
    <xf numFmtId="0" fontId="11" fillId="0" borderId="0" xfId="0" applyFont="1" applyAlignment="1"/>
    <xf numFmtId="0" fontId="10" fillId="0" borderId="0" xfId="0" applyFont="1"/>
    <xf numFmtId="0" fontId="11" fillId="0" borderId="0" xfId="0" applyFont="1" applyAlignment="1" applyProtection="1">
      <alignment horizontal="center"/>
      <protection hidden="1"/>
    </xf>
    <xf numFmtId="0" fontId="6" fillId="0" borderId="0" xfId="0" applyFont="1"/>
    <xf numFmtId="4" fontId="6" fillId="0" borderId="0" xfId="0" applyNumberFormat="1" applyFont="1"/>
    <xf numFmtId="164" fontId="6" fillId="0" borderId="0" xfId="1" applyNumberFormat="1" applyFont="1"/>
    <xf numFmtId="164" fontId="8" fillId="0" borderId="1" xfId="1" applyNumberFormat="1" applyFont="1" applyBorder="1"/>
    <xf numFmtId="0" fontId="6" fillId="0" borderId="0" xfId="0" applyFont="1" applyBorder="1" applyAlignment="1">
      <alignment horizontal="center"/>
    </xf>
    <xf numFmtId="0" fontId="12" fillId="0" borderId="0" xfId="0" applyFont="1"/>
    <xf numFmtId="0" fontId="0" fillId="0" borderId="0" xfId="0" applyAlignment="1">
      <alignment horizontal="center"/>
    </xf>
    <xf numFmtId="43" fontId="0" fillId="0" borderId="0" xfId="1" applyNumberFormat="1" applyFont="1"/>
    <xf numFmtId="0" fontId="2" fillId="0" borderId="0" xfId="0" applyFont="1" applyAlignment="1">
      <alignment horizontal="right"/>
    </xf>
    <xf numFmtId="43" fontId="0" fillId="0" borderId="0" xfId="0" applyNumberFormat="1"/>
    <xf numFmtId="0" fontId="2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3" fontId="2" fillId="0" borderId="1" xfId="1" applyNumberFormat="1" applyFont="1" applyBorder="1" applyAlignment="1">
      <alignment horizontal="center"/>
    </xf>
    <xf numFmtId="0" fontId="13" fillId="0" borderId="1" xfId="0" applyFont="1" applyBorder="1"/>
    <xf numFmtId="4" fontId="14" fillId="0" borderId="1" xfId="0" applyNumberFormat="1" applyFont="1" applyBorder="1"/>
    <xf numFmtId="4" fontId="15" fillId="0" borderId="1" xfId="0" applyNumberFormat="1" applyFont="1" applyBorder="1" applyAlignment="1">
      <alignment horizontal="right"/>
    </xf>
    <xf numFmtId="43" fontId="2" fillId="0" borderId="1" xfId="1" applyNumberFormat="1" applyFont="1" applyBorder="1"/>
    <xf numFmtId="43" fontId="0" fillId="0" borderId="1" xfId="0" applyNumberFormat="1" applyBorder="1"/>
    <xf numFmtId="4" fontId="13" fillId="0" borderId="15" xfId="0" applyNumberFormat="1" applyFont="1" applyBorder="1"/>
    <xf numFmtId="0" fontId="13" fillId="0" borderId="14" xfId="0" applyFont="1" applyFill="1" applyBorder="1"/>
    <xf numFmtId="43" fontId="2" fillId="0" borderId="0" xfId="1" applyNumberFormat="1" applyFont="1"/>
    <xf numFmtId="0" fontId="13" fillId="0" borderId="0" xfId="0" applyFont="1" applyFill="1" applyBorder="1"/>
    <xf numFmtId="0" fontId="4" fillId="0" borderId="0" xfId="0" applyFont="1" applyAlignment="1">
      <alignment horizontal="right"/>
    </xf>
    <xf numFmtId="43" fontId="3" fillId="0" borderId="0" xfId="1" applyNumberFormat="1" applyFont="1" applyAlignment="1">
      <alignment horizontal="center"/>
    </xf>
    <xf numFmtId="0" fontId="0" fillId="0" borderId="1" xfId="0" applyBorder="1"/>
    <xf numFmtId="4" fontId="16" fillId="0" borderId="1" xfId="0" applyNumberFormat="1" applyFont="1" applyBorder="1"/>
    <xf numFmtId="164" fontId="13" fillId="0" borderId="1" xfId="1" applyNumberFormat="1" applyFont="1" applyBorder="1"/>
    <xf numFmtId="4" fontId="13" fillId="0" borderId="1" xfId="0" applyNumberFormat="1" applyFont="1" applyBorder="1"/>
    <xf numFmtId="0" fontId="17" fillId="0" borderId="0" xfId="0" applyFont="1" applyAlignment="1">
      <alignment horizontal="right"/>
    </xf>
    <xf numFmtId="14" fontId="6" fillId="0" borderId="0" xfId="0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164" fontId="6" fillId="0" borderId="0" xfId="1" applyNumberFormat="1" applyFont="1" applyAlignment="1">
      <alignment horizontal="center"/>
    </xf>
    <xf numFmtId="164" fontId="17" fillId="0" borderId="0" xfId="1" applyNumberFormat="1" applyFont="1" applyAlignment="1">
      <alignment horizontal="center"/>
    </xf>
    <xf numFmtId="164" fontId="17" fillId="0" borderId="0" xfId="1" applyNumberFormat="1" applyFont="1"/>
    <xf numFmtId="4" fontId="18" fillId="0" borderId="0" xfId="0" applyNumberFormat="1" applyFont="1"/>
    <xf numFmtId="3" fontId="6" fillId="0" borderId="1" xfId="0" applyNumberFormat="1" applyFont="1" applyBorder="1" applyAlignment="1">
      <alignment horizontal="center"/>
    </xf>
    <xf numFmtId="3" fontId="17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64" fontId="17" fillId="0" borderId="1" xfId="1" applyNumberFormat="1" applyFont="1" applyBorder="1" applyAlignment="1">
      <alignment horizontal="center"/>
    </xf>
    <xf numFmtId="164" fontId="6" fillId="0" borderId="1" xfId="1" applyNumberFormat="1" applyFont="1" applyBorder="1" applyAlignment="1">
      <alignment horizontal="center"/>
    </xf>
    <xf numFmtId="4" fontId="6" fillId="0" borderId="1" xfId="0" applyNumberFormat="1" applyFont="1" applyBorder="1"/>
    <xf numFmtId="4" fontId="18" fillId="0" borderId="1" xfId="0" applyNumberFormat="1" applyFont="1" applyBorder="1"/>
    <xf numFmtId="164" fontId="18" fillId="0" borderId="1" xfId="1" applyNumberFormat="1" applyFont="1" applyBorder="1"/>
    <xf numFmtId="4" fontId="6" fillId="0" borderId="1" xfId="0" applyNumberFormat="1" applyFont="1" applyBorder="1" applyAlignment="1">
      <alignment horizontal="center"/>
    </xf>
    <xf numFmtId="0" fontId="17" fillId="0" borderId="1" xfId="0" applyFont="1" applyBorder="1"/>
    <xf numFmtId="4" fontId="19" fillId="0" borderId="1" xfId="0" applyNumberFormat="1" applyFont="1" applyBorder="1"/>
    <xf numFmtId="4" fontId="20" fillId="0" borderId="1" xfId="0" applyNumberFormat="1" applyFont="1" applyBorder="1"/>
    <xf numFmtId="4" fontId="21" fillId="0" borderId="1" xfId="0" applyNumberFormat="1" applyFont="1" applyBorder="1"/>
    <xf numFmtId="4" fontId="22" fillId="0" borderId="1" xfId="0" applyNumberFormat="1" applyFont="1" applyBorder="1"/>
    <xf numFmtId="0" fontId="17" fillId="0" borderId="0" xfId="0" applyFont="1"/>
    <xf numFmtId="0" fontId="17" fillId="0" borderId="0" xfId="0" applyFont="1" applyBorder="1"/>
    <xf numFmtId="4" fontId="19" fillId="0" borderId="0" xfId="0" applyNumberFormat="1" applyFont="1" applyBorder="1"/>
    <xf numFmtId="4" fontId="20" fillId="0" borderId="0" xfId="0" applyNumberFormat="1" applyFont="1" applyBorder="1"/>
    <xf numFmtId="4" fontId="21" fillId="0" borderId="0" xfId="0" applyNumberFormat="1" applyFont="1" applyBorder="1"/>
    <xf numFmtId="4" fontId="17" fillId="0" borderId="0" xfId="0" applyNumberFormat="1" applyFont="1"/>
    <xf numFmtId="10" fontId="21" fillId="0" borderId="0" xfId="2" applyNumberFormat="1" applyFont="1" applyBorder="1" applyAlignment="1">
      <alignment horizontal="center"/>
    </xf>
    <xf numFmtId="0" fontId="17" fillId="0" borderId="2" xfId="0" applyFont="1" applyBorder="1"/>
    <xf numFmtId="4" fontId="20" fillId="0" borderId="0" xfId="0" applyNumberFormat="1" applyFont="1"/>
    <xf numFmtId="0" fontId="20" fillId="0" borderId="0" xfId="0" applyFont="1"/>
    <xf numFmtId="3" fontId="6" fillId="0" borderId="0" xfId="0" applyNumberFormat="1" applyFont="1"/>
    <xf numFmtId="2" fontId="6" fillId="0" borderId="0" xfId="0" applyNumberFormat="1" applyFont="1" applyAlignment="1">
      <alignment horizontal="center"/>
    </xf>
    <xf numFmtId="43" fontId="6" fillId="0" borderId="0" xfId="0" applyNumberFormat="1" applyFont="1"/>
    <xf numFmtId="0" fontId="17" fillId="0" borderId="1" xfId="0" applyFont="1" applyBorder="1" applyAlignment="1">
      <alignment horizontal="right"/>
    </xf>
    <xf numFmtId="4" fontId="17" fillId="0" borderId="1" xfId="0" applyNumberFormat="1" applyFont="1" applyBorder="1"/>
    <xf numFmtId="0" fontId="17" fillId="0" borderId="19" xfId="0" applyFont="1" applyBorder="1" applyAlignment="1">
      <alignment horizontal="center"/>
    </xf>
    <xf numFmtId="0" fontId="17" fillId="0" borderId="19" xfId="0" applyFont="1" applyBorder="1"/>
    <xf numFmtId="2" fontId="17" fillId="0" borderId="19" xfId="0" applyNumberFormat="1" applyFont="1" applyBorder="1" applyAlignment="1">
      <alignment horizontal="center"/>
    </xf>
    <xf numFmtId="164" fontId="18" fillId="0" borderId="19" xfId="1" applyNumberFormat="1" applyFont="1" applyBorder="1" applyAlignment="1">
      <alignment horizontal="center"/>
    </xf>
    <xf numFmtId="164" fontId="6" fillId="0" borderId="19" xfId="1" applyNumberFormat="1" applyFont="1" applyBorder="1" applyAlignment="1">
      <alignment horizontal="center"/>
    </xf>
    <xf numFmtId="10" fontId="17" fillId="0" borderId="0" xfId="0" applyNumberFormat="1" applyFont="1"/>
    <xf numFmtId="10" fontId="6" fillId="0" borderId="0" xfId="2" applyNumberFormat="1" applyFont="1"/>
    <xf numFmtId="10" fontId="6" fillId="0" borderId="0" xfId="0" applyNumberFormat="1" applyFont="1"/>
    <xf numFmtId="43" fontId="17" fillId="0" borderId="0" xfId="0" applyNumberFormat="1" applyFont="1" applyAlignment="1">
      <alignment horizontal="right"/>
    </xf>
    <xf numFmtId="4" fontId="17" fillId="0" borderId="19" xfId="0" applyNumberFormat="1" applyFont="1" applyBorder="1"/>
    <xf numFmtId="0" fontId="17" fillId="0" borderId="19" xfId="0" applyFont="1" applyBorder="1" applyAlignment="1">
      <alignment horizontal="right"/>
    </xf>
    <xf numFmtId="10" fontId="17" fillId="0" borderId="19" xfId="2" applyNumberFormat="1" applyFont="1" applyBorder="1"/>
    <xf numFmtId="0" fontId="23" fillId="0" borderId="0" xfId="0" applyFont="1" applyAlignment="1">
      <alignment horizontal="center"/>
    </xf>
    <xf numFmtId="0" fontId="13" fillId="0" borderId="0" xfId="0" applyFont="1"/>
    <xf numFmtId="164" fontId="10" fillId="0" borderId="0" xfId="1" applyNumberFormat="1" applyFont="1"/>
    <xf numFmtId="0" fontId="10" fillId="0" borderId="8" xfId="0" applyFont="1" applyBorder="1"/>
    <xf numFmtId="0" fontId="10" fillId="0" borderId="17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0" fillId="0" borderId="10" xfId="0" applyFont="1" applyBorder="1"/>
    <xf numFmtId="0" fontId="10" fillId="0" borderId="0" xfId="0" applyFont="1" applyBorder="1"/>
    <xf numFmtId="4" fontId="10" fillId="0" borderId="10" xfId="0" applyNumberFormat="1" applyFont="1" applyBorder="1"/>
    <xf numFmtId="4" fontId="25" fillId="0" borderId="0" xfId="0" applyNumberFormat="1" applyFont="1" applyBorder="1"/>
    <xf numFmtId="164" fontId="10" fillId="0" borderId="8" xfId="1" applyNumberFormat="1" applyFont="1" applyBorder="1"/>
    <xf numFmtId="164" fontId="10" fillId="0" borderId="14" xfId="1" applyNumberFormat="1" applyFont="1" applyBorder="1"/>
    <xf numFmtId="164" fontId="10" fillId="0" borderId="0" xfId="1" applyNumberFormat="1" applyFont="1" applyBorder="1"/>
    <xf numFmtId="164" fontId="10" fillId="0" borderId="13" xfId="1" applyNumberFormat="1" applyFont="1" applyBorder="1"/>
    <xf numFmtId="4" fontId="10" fillId="0" borderId="0" xfId="0" applyNumberFormat="1" applyFont="1" applyBorder="1"/>
    <xf numFmtId="164" fontId="10" fillId="0" borderId="10" xfId="1" applyNumberFormat="1" applyFont="1" applyBorder="1"/>
    <xf numFmtId="164" fontId="24" fillId="0" borderId="10" xfId="1" applyNumberFormat="1" applyFont="1" applyBorder="1"/>
    <xf numFmtId="0" fontId="25" fillId="0" borderId="0" xfId="0" applyFont="1" applyBorder="1"/>
    <xf numFmtId="4" fontId="25" fillId="0" borderId="10" xfId="0" applyNumberFormat="1" applyFont="1" applyBorder="1"/>
    <xf numFmtId="164" fontId="25" fillId="0" borderId="10" xfId="1" applyNumberFormat="1" applyFont="1" applyBorder="1"/>
    <xf numFmtId="164" fontId="25" fillId="0" borderId="14" xfId="1" applyNumberFormat="1" applyFont="1" applyBorder="1"/>
    <xf numFmtId="164" fontId="25" fillId="0" borderId="0" xfId="1" applyNumberFormat="1" applyFont="1" applyBorder="1"/>
    <xf numFmtId="4" fontId="10" fillId="0" borderId="0" xfId="0" applyNumberFormat="1" applyFont="1"/>
    <xf numFmtId="164" fontId="18" fillId="0" borderId="10" xfId="1" applyNumberFormat="1" applyFont="1" applyBorder="1"/>
    <xf numFmtId="164" fontId="23" fillId="0" borderId="14" xfId="1" applyNumberFormat="1" applyFont="1" applyBorder="1"/>
    <xf numFmtId="164" fontId="18" fillId="0" borderId="0" xfId="1" applyNumberFormat="1" applyFont="1" applyBorder="1"/>
    <xf numFmtId="4" fontId="10" fillId="0" borderId="13" xfId="0" applyNumberFormat="1" applyFont="1" applyBorder="1"/>
    <xf numFmtId="0" fontId="10" fillId="0" borderId="2" xfId="0" applyFont="1" applyBorder="1"/>
    <xf numFmtId="0" fontId="10" fillId="0" borderId="3" xfId="0" applyFont="1" applyBorder="1" applyAlignment="1">
      <alignment horizontal="center"/>
    </xf>
    <xf numFmtId="4" fontId="13" fillId="0" borderId="19" xfId="0" applyNumberFormat="1" applyFont="1" applyBorder="1"/>
    <xf numFmtId="4" fontId="13" fillId="0" borderId="3" xfId="0" applyNumberFormat="1" applyFont="1" applyBorder="1"/>
    <xf numFmtId="4" fontId="13" fillId="0" borderId="2" xfId="0" applyNumberFormat="1" applyFont="1" applyBorder="1"/>
    <xf numFmtId="10" fontId="10" fillId="0" borderId="0" xfId="2" applyNumberFormat="1" applyFont="1" applyAlignment="1">
      <alignment horizontal="center"/>
    </xf>
    <xf numFmtId="164" fontId="10" fillId="0" borderId="1" xfId="1" applyNumberFormat="1" applyFont="1" applyBorder="1"/>
    <xf numFmtId="0" fontId="10" fillId="0" borderId="0" xfId="0" applyFont="1" applyAlignment="1">
      <alignment horizontal="right"/>
    </xf>
    <xf numFmtId="164" fontId="10" fillId="0" borderId="0" xfId="0" applyNumberFormat="1" applyFont="1"/>
    <xf numFmtId="164" fontId="17" fillId="0" borderId="1" xfId="1" applyNumberFormat="1" applyFont="1" applyBorder="1"/>
    <xf numFmtId="43" fontId="10" fillId="0" borderId="0" xfId="0" applyNumberFormat="1" applyFont="1"/>
    <xf numFmtId="164" fontId="24" fillId="0" borderId="1" xfId="1" applyNumberFormat="1" applyFont="1" applyBorder="1"/>
    <xf numFmtId="0" fontId="10" fillId="0" borderId="1" xfId="0" applyFont="1" applyBorder="1"/>
    <xf numFmtId="0" fontId="10" fillId="0" borderId="0" xfId="0" applyFont="1" applyBorder="1" applyAlignment="1">
      <alignment horizontal="center"/>
    </xf>
    <xf numFmtId="0" fontId="6" fillId="0" borderId="1" xfId="0" applyFont="1" applyBorder="1" applyAlignment="1"/>
    <xf numFmtId="164" fontId="26" fillId="0" borderId="1" xfId="1" applyNumberFormat="1" applyFont="1" applyBorder="1"/>
    <xf numFmtId="10" fontId="10" fillId="0" borderId="0" xfId="2" applyNumberFormat="1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/>
    <xf numFmtId="0" fontId="10" fillId="0" borderId="1" xfId="0" applyFont="1" applyBorder="1" applyAlignment="1">
      <alignment horizontal="right"/>
    </xf>
    <xf numFmtId="164" fontId="10" fillId="0" borderId="0" xfId="2" quotePrefix="1" applyNumberFormat="1" applyFont="1" applyBorder="1" applyAlignment="1">
      <alignment horizontal="center"/>
    </xf>
    <xf numFmtId="0" fontId="13" fillId="0" borderId="0" xfId="0" applyFont="1" applyAlignment="1">
      <alignment horizontal="center"/>
    </xf>
    <xf numFmtId="164" fontId="10" fillId="0" borderId="1" xfId="0" applyNumberFormat="1" applyFont="1" applyBorder="1"/>
    <xf numFmtId="10" fontId="10" fillId="0" borderId="1" xfId="2" applyNumberFormat="1" applyFont="1" applyBorder="1" applyAlignment="1">
      <alignment horizontal="center"/>
    </xf>
    <xf numFmtId="10" fontId="10" fillId="0" borderId="1" xfId="2" applyNumberFormat="1" applyFont="1" applyBorder="1"/>
    <xf numFmtId="164" fontId="10" fillId="0" borderId="1" xfId="1" applyNumberFormat="1" applyFont="1" applyFill="1" applyBorder="1" applyAlignment="1">
      <alignment horizontal="right"/>
    </xf>
    <xf numFmtId="10" fontId="13" fillId="2" borderId="1" xfId="2" applyNumberFormat="1" applyFont="1" applyFill="1" applyBorder="1" applyAlignment="1">
      <alignment horizontal="center"/>
    </xf>
    <xf numFmtId="164" fontId="13" fillId="2" borderId="1" xfId="1" applyNumberFormat="1" applyFont="1" applyFill="1" applyBorder="1"/>
    <xf numFmtId="10" fontId="13" fillId="0" borderId="1" xfId="2" applyNumberFormat="1" applyFont="1" applyBorder="1"/>
    <xf numFmtId="0" fontId="13" fillId="0" borderId="0" xfId="0" applyFont="1" applyAlignment="1">
      <alignment horizontal="left"/>
    </xf>
    <xf numFmtId="43" fontId="6" fillId="0" borderId="0" xfId="0" applyNumberFormat="1" applyFont="1" applyBorder="1" applyAlignment="1">
      <alignment horizontal="center"/>
    </xf>
    <xf numFmtId="164" fontId="25" fillId="0" borderId="1" xfId="1" applyNumberFormat="1" applyFont="1" applyBorder="1"/>
    <xf numFmtId="164" fontId="13" fillId="0" borderId="1" xfId="0" applyNumberFormat="1" applyFont="1" applyBorder="1"/>
    <xf numFmtId="164" fontId="10" fillId="0" borderId="1" xfId="1" applyNumberFormat="1" applyFont="1" applyBorder="1" applyAlignment="1">
      <alignment horizontal="center"/>
    </xf>
    <xf numFmtId="10" fontId="10" fillId="0" borderId="0" xfId="2" applyNumberFormat="1" applyFont="1" applyBorder="1"/>
    <xf numFmtId="4" fontId="10" fillId="0" borderId="1" xfId="0" applyNumberFormat="1" applyFont="1" applyBorder="1"/>
    <xf numFmtId="164" fontId="17" fillId="0" borderId="1" xfId="0" applyNumberFormat="1" applyFont="1" applyBorder="1"/>
    <xf numFmtId="164" fontId="10" fillId="0" borderId="0" xfId="1" applyNumberFormat="1" applyFont="1" applyBorder="1" applyAlignment="1">
      <alignment horizontal="center"/>
    </xf>
    <xf numFmtId="164" fontId="13" fillId="0" borderId="0" xfId="1" applyNumberFormat="1" applyFont="1" applyBorder="1"/>
    <xf numFmtId="164" fontId="6" fillId="0" borderId="0" xfId="0" applyNumberFormat="1" applyFont="1"/>
    <xf numFmtId="0" fontId="10" fillId="0" borderId="0" xfId="0" applyFont="1" applyAlignment="1">
      <alignment horizontal="center"/>
    </xf>
    <xf numFmtId="0" fontId="13" fillId="0" borderId="0" xfId="0" applyFont="1" applyAlignment="1">
      <alignment horizontal="right"/>
    </xf>
    <xf numFmtId="4" fontId="13" fillId="0" borderId="0" xfId="0" applyNumberFormat="1" applyFont="1"/>
    <xf numFmtId="0" fontId="27" fillId="0" borderId="0" xfId="0" applyFont="1"/>
    <xf numFmtId="0" fontId="28" fillId="0" borderId="0" xfId="0" applyFont="1"/>
    <xf numFmtId="0" fontId="6" fillId="0" borderId="1" xfId="3" applyFont="1" applyBorder="1"/>
    <xf numFmtId="0" fontId="17" fillId="0" borderId="0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6" fillId="0" borderId="1" xfId="3" applyFont="1" applyBorder="1" applyAlignment="1">
      <alignment horizontal="center"/>
    </xf>
    <xf numFmtId="10" fontId="6" fillId="0" borderId="1" xfId="4" quotePrefix="1" applyNumberFormat="1" applyFont="1" applyBorder="1" applyAlignment="1">
      <alignment horizontal="center"/>
    </xf>
    <xf numFmtId="10" fontId="6" fillId="0" borderId="0" xfId="4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10" fontId="6" fillId="0" borderId="1" xfId="4" applyNumberFormat="1" applyFont="1" applyBorder="1"/>
    <xf numFmtId="164" fontId="6" fillId="0" borderId="1" xfId="5" applyFont="1" applyBorder="1"/>
    <xf numFmtId="164" fontId="6" fillId="0" borderId="0" xfId="1" applyNumberFormat="1" applyFont="1" applyBorder="1"/>
    <xf numFmtId="164" fontId="6" fillId="0" borderId="1" xfId="1" applyNumberFormat="1" applyFont="1" applyBorder="1" applyProtection="1">
      <protection hidden="1"/>
    </xf>
    <xf numFmtId="164" fontId="17" fillId="0" borderId="1" xfId="5" applyFont="1" applyBorder="1"/>
    <xf numFmtId="164" fontId="17" fillId="0" borderId="0" xfId="1" applyNumberFormat="1" applyFont="1" applyBorder="1"/>
    <xf numFmtId="10" fontId="6" fillId="0" borderId="1" xfId="4" applyNumberFormat="1" applyFont="1" applyBorder="1" applyAlignment="1">
      <alignment horizontal="center"/>
    </xf>
    <xf numFmtId="10" fontId="6" fillId="0" borderId="1" xfId="4" applyNumberFormat="1" applyFont="1" applyFill="1" applyBorder="1" applyAlignment="1">
      <alignment horizontal="center"/>
    </xf>
    <xf numFmtId="10" fontId="6" fillId="0" borderId="1" xfId="0" applyNumberFormat="1" applyFont="1" applyBorder="1" applyAlignment="1">
      <alignment horizontal="center"/>
    </xf>
    <xf numFmtId="0" fontId="6" fillId="0" borderId="0" xfId="3" applyFont="1"/>
    <xf numFmtId="164" fontId="6" fillId="0" borderId="0" xfId="3" applyNumberFormat="1" applyFont="1"/>
    <xf numFmtId="0" fontId="6" fillId="0" borderId="1" xfId="0" quotePrefix="1" applyFont="1" applyBorder="1" applyAlignment="1">
      <alignment horizontal="center"/>
    </xf>
    <xf numFmtId="0" fontId="17" fillId="0" borderId="2" xfId="0" applyFont="1" applyBorder="1" applyAlignment="1">
      <alignment horizontal="left"/>
    </xf>
    <xf numFmtId="0" fontId="17" fillId="0" borderId="3" xfId="0" applyFont="1" applyBorder="1"/>
    <xf numFmtId="164" fontId="6" fillId="0" borderId="2" xfId="4" applyNumberFormat="1" applyFont="1" applyBorder="1" applyAlignment="1">
      <alignment horizontal="center"/>
    </xf>
    <xf numFmtId="164" fontId="6" fillId="0" borderId="19" xfId="4" applyNumberFormat="1" applyFont="1" applyBorder="1" applyAlignment="1">
      <alignment horizontal="center"/>
    </xf>
    <xf numFmtId="0" fontId="17" fillId="0" borderId="1" xfId="3" applyFont="1" applyBorder="1"/>
    <xf numFmtId="10" fontId="6" fillId="0" borderId="0" xfId="4" applyNumberFormat="1" applyFont="1"/>
    <xf numFmtId="164" fontId="6" fillId="0" borderId="1" xfId="3" applyNumberFormat="1" applyFont="1" applyBorder="1"/>
    <xf numFmtId="0" fontId="6" fillId="0" borderId="1" xfId="0" applyFont="1" applyBorder="1"/>
    <xf numFmtId="0" fontId="17" fillId="0" borderId="1" xfId="0" quotePrefix="1" applyFont="1" applyBorder="1" applyAlignment="1">
      <alignment horizontal="center"/>
    </xf>
    <xf numFmtId="2" fontId="6" fillId="0" borderId="1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17" fillId="0" borderId="9" xfId="0" applyFont="1" applyBorder="1"/>
    <xf numFmtId="0" fontId="6" fillId="0" borderId="13" xfId="0" applyFont="1" applyBorder="1" applyAlignment="1">
      <alignment horizontal="left"/>
    </xf>
    <xf numFmtId="0" fontId="6" fillId="0" borderId="14" xfId="0" applyFont="1" applyBorder="1"/>
    <xf numFmtId="164" fontId="6" fillId="0" borderId="3" xfId="1" applyNumberFormat="1" applyFont="1" applyBorder="1"/>
    <xf numFmtId="0" fontId="6" fillId="0" borderId="2" xfId="0" applyFont="1" applyBorder="1" applyAlignment="1">
      <alignment horizontal="left"/>
    </xf>
    <xf numFmtId="0" fontId="6" fillId="0" borderId="3" xfId="0" applyFont="1" applyBorder="1"/>
    <xf numFmtId="0" fontId="17" fillId="0" borderId="8" xfId="0" applyFont="1" applyBorder="1"/>
    <xf numFmtId="0" fontId="6" fillId="0" borderId="2" xfId="0" applyFont="1" applyBorder="1"/>
    <xf numFmtId="0" fontId="17" fillId="0" borderId="19" xfId="0" quotePrefix="1" applyFont="1" applyBorder="1" applyAlignment="1">
      <alignment horizontal="left"/>
    </xf>
    <xf numFmtId="0" fontId="6" fillId="0" borderId="19" xfId="0" applyFont="1" applyBorder="1"/>
    <xf numFmtId="164" fontId="6" fillId="0" borderId="0" xfId="1" applyNumberFormat="1" applyFont="1" applyAlignment="1">
      <alignment horizontal="right"/>
    </xf>
    <xf numFmtId="0" fontId="6" fillId="0" borderId="0" xfId="0" applyFont="1" applyBorder="1"/>
    <xf numFmtId="43" fontId="6" fillId="0" borderId="0" xfId="0" applyNumberFormat="1" applyFont="1" applyBorder="1"/>
    <xf numFmtId="164" fontId="6" fillId="0" borderId="0" xfId="0" applyNumberFormat="1" applyFont="1" applyAlignment="1"/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4" fontId="6" fillId="0" borderId="13" xfId="0" applyNumberFormat="1" applyFont="1" applyBorder="1"/>
    <xf numFmtId="4" fontId="6" fillId="0" borderId="10" xfId="0" applyNumberFormat="1" applyFont="1" applyBorder="1"/>
    <xf numFmtId="164" fontId="6" fillId="0" borderId="8" xfId="1" applyNumberFormat="1" applyFont="1" applyBorder="1"/>
    <xf numFmtId="4" fontId="6" fillId="0" borderId="8" xfId="0" applyNumberFormat="1" applyFont="1" applyBorder="1"/>
    <xf numFmtId="0" fontId="6" fillId="0" borderId="13" xfId="0" applyFont="1" applyBorder="1"/>
    <xf numFmtId="0" fontId="6" fillId="0" borderId="10" xfId="0" applyFont="1" applyBorder="1"/>
    <xf numFmtId="164" fontId="6" fillId="0" borderId="10" xfId="1" applyNumberFormat="1" applyFont="1" applyBorder="1"/>
    <xf numFmtId="43" fontId="6" fillId="0" borderId="1" xfId="0" applyNumberFormat="1" applyFont="1" applyBorder="1"/>
    <xf numFmtId="4" fontId="6" fillId="0" borderId="2" xfId="0" applyNumberFormat="1" applyFont="1" applyBorder="1"/>
    <xf numFmtId="4" fontId="6" fillId="0" borderId="19" xfId="0" applyNumberFormat="1" applyFont="1" applyBorder="1"/>
    <xf numFmtId="164" fontId="6" fillId="0" borderId="19" xfId="0" applyNumberFormat="1" applyFont="1" applyBorder="1"/>
    <xf numFmtId="0" fontId="6" fillId="0" borderId="19" xfId="0" applyFont="1" applyBorder="1" applyAlignment="1">
      <alignment horizontal="right"/>
    </xf>
    <xf numFmtId="164" fontId="13" fillId="0" borderId="0" xfId="1" applyNumberFormat="1" applyFont="1"/>
    <xf numFmtId="0" fontId="29" fillId="0" borderId="0" xfId="0" applyFont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8" xfId="0" quotePrefix="1" applyFont="1" applyBorder="1" applyAlignment="1">
      <alignment horizontal="center"/>
    </xf>
    <xf numFmtId="0" fontId="10" fillId="0" borderId="18" xfId="0" applyFont="1" applyBorder="1" applyAlignment="1">
      <alignment horizontal="right"/>
    </xf>
    <xf numFmtId="0" fontId="13" fillId="0" borderId="9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9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10" xfId="0" applyFont="1" applyBorder="1"/>
    <xf numFmtId="0" fontId="10" fillId="0" borderId="11" xfId="0" applyFont="1" applyBorder="1"/>
    <xf numFmtId="0" fontId="13" fillId="0" borderId="17" xfId="0" applyFont="1" applyBorder="1"/>
    <xf numFmtId="0" fontId="12" fillId="0" borderId="12" xfId="0" applyFont="1" applyBorder="1"/>
    <xf numFmtId="4" fontId="14" fillId="0" borderId="0" xfId="0" applyNumberFormat="1" applyFont="1" applyBorder="1"/>
    <xf numFmtId="4" fontId="14" fillId="0" borderId="8" xfId="0" applyNumberFormat="1" applyFont="1" applyBorder="1"/>
    <xf numFmtId="4" fontId="16" fillId="0" borderId="0" xfId="0" applyNumberFormat="1" applyFont="1"/>
    <xf numFmtId="4" fontId="13" fillId="0" borderId="14" xfId="0" applyNumberFormat="1" applyFont="1" applyBorder="1"/>
    <xf numFmtId="164" fontId="13" fillId="0" borderId="10" xfId="1" applyNumberFormat="1" applyFont="1" applyBorder="1"/>
    <xf numFmtId="4" fontId="12" fillId="0" borderId="0" xfId="0" applyNumberFormat="1" applyFont="1"/>
    <xf numFmtId="0" fontId="10" fillId="0" borderId="13" xfId="0" applyFont="1" applyBorder="1"/>
    <xf numFmtId="0" fontId="13" fillId="0" borderId="0" xfId="0" applyFont="1" applyBorder="1"/>
    <xf numFmtId="0" fontId="12" fillId="0" borderId="14" xfId="0" applyFont="1" applyBorder="1"/>
    <xf numFmtId="4" fontId="14" fillId="0" borderId="10" xfId="0" applyNumberFormat="1" applyFont="1" applyBorder="1"/>
    <xf numFmtId="164" fontId="12" fillId="0" borderId="0" xfId="1" applyNumberFormat="1" applyFont="1"/>
    <xf numFmtId="0" fontId="12" fillId="0" borderId="0" xfId="0" applyFont="1" applyBorder="1"/>
    <xf numFmtId="43" fontId="12" fillId="0" borderId="0" xfId="0" applyNumberFormat="1" applyFont="1"/>
    <xf numFmtId="0" fontId="13" fillId="0" borderId="9" xfId="0" applyFont="1" applyBorder="1"/>
    <xf numFmtId="0" fontId="10" fillId="0" borderId="15" xfId="0" applyFont="1" applyBorder="1"/>
    <xf numFmtId="0" fontId="12" fillId="0" borderId="18" xfId="0" applyFont="1" applyBorder="1"/>
    <xf numFmtId="0" fontId="12" fillId="0" borderId="16" xfId="0" applyFont="1" applyBorder="1"/>
    <xf numFmtId="4" fontId="14" fillId="0" borderId="9" xfId="0" applyNumberFormat="1" applyFont="1" applyBorder="1"/>
    <xf numFmtId="0" fontId="12" fillId="0" borderId="19" xfId="0" applyFont="1" applyBorder="1"/>
    <xf numFmtId="0" fontId="12" fillId="0" borderId="3" xfId="0" applyFont="1" applyBorder="1"/>
    <xf numFmtId="4" fontId="10" fillId="0" borderId="2" xfId="0" applyNumberFormat="1" applyFont="1" applyBorder="1"/>
    <xf numFmtId="4" fontId="30" fillId="0" borderId="9" xfId="0" applyNumberFormat="1" applyFont="1" applyBorder="1"/>
    <xf numFmtId="164" fontId="17" fillId="0" borderId="0" xfId="0" applyNumberFormat="1" applyFont="1"/>
    <xf numFmtId="0" fontId="31" fillId="0" borderId="0" xfId="0" applyFont="1"/>
    <xf numFmtId="0" fontId="10" fillId="0" borderId="0" xfId="0" applyFont="1" applyFill="1" applyBorder="1" applyAlignment="1">
      <alignment horizontal="left"/>
    </xf>
    <xf numFmtId="164" fontId="32" fillId="0" borderId="0" xfId="1" applyNumberFormat="1" applyFont="1"/>
    <xf numFmtId="0" fontId="13" fillId="0" borderId="0" xfId="0" applyFont="1" applyFill="1" applyBorder="1" applyAlignment="1">
      <alignment horizontal="right"/>
    </xf>
    <xf numFmtId="4" fontId="23" fillId="0" borderId="0" xfId="0" applyNumberFormat="1" applyFont="1" applyAlignment="1">
      <alignment horizontal="center"/>
    </xf>
    <xf numFmtId="0" fontId="29" fillId="0" borderId="0" xfId="0" applyFont="1"/>
    <xf numFmtId="164" fontId="12" fillId="0" borderId="0" xfId="0" applyNumberFormat="1" applyFont="1"/>
    <xf numFmtId="164" fontId="13" fillId="0" borderId="0" xfId="4" applyNumberFormat="1" applyFont="1"/>
    <xf numFmtId="0" fontId="33" fillId="0" borderId="0" xfId="0" applyFont="1" applyBorder="1"/>
    <xf numFmtId="164" fontId="29" fillId="0" borderId="0" xfId="1" applyNumberFormat="1" applyFont="1"/>
    <xf numFmtId="164" fontId="12" fillId="0" borderId="0" xfId="0" applyNumberFormat="1" applyFont="1" applyBorder="1"/>
    <xf numFmtId="17" fontId="6" fillId="0" borderId="11" xfId="0" applyNumberFormat="1" applyFont="1" applyBorder="1" applyAlignment="1">
      <alignment horizontal="center"/>
    </xf>
    <xf numFmtId="0" fontId="6" fillId="0" borderId="15" xfId="0" applyFont="1" applyBorder="1" applyAlignment="1">
      <alignment horizontal="center"/>
    </xf>
    <xf numFmtId="4" fontId="2" fillId="0" borderId="1" xfId="0" applyNumberFormat="1" applyFont="1" applyBorder="1"/>
    <xf numFmtId="43" fontId="2" fillId="0" borderId="2" xfId="1" applyFont="1" applyBorder="1"/>
    <xf numFmtId="164" fontId="8" fillId="0" borderId="8" xfId="1" applyNumberFormat="1" applyFont="1" applyBorder="1"/>
    <xf numFmtId="0" fontId="3" fillId="0" borderId="18" xfId="0" applyFont="1" applyBorder="1"/>
    <xf numFmtId="0" fontId="34" fillId="0" borderId="0" xfId="0" applyFont="1"/>
    <xf numFmtId="0" fontId="6" fillId="0" borderId="4" xfId="0" applyFont="1" applyBorder="1"/>
    <xf numFmtId="0" fontId="6" fillId="0" borderId="22" xfId="0" applyFont="1" applyBorder="1"/>
    <xf numFmtId="0" fontId="17" fillId="0" borderId="5" xfId="0" applyFont="1" applyBorder="1"/>
    <xf numFmtId="0" fontId="6" fillId="0" borderId="7" xfId="0" applyFont="1" applyBorder="1"/>
    <xf numFmtId="0" fontId="6" fillId="0" borderId="7" xfId="0" applyFont="1" applyBorder="1" applyAlignment="1">
      <alignment horizontal="center"/>
    </xf>
    <xf numFmtId="0" fontId="6" fillId="0" borderId="15" xfId="0" applyFont="1" applyBorder="1"/>
    <xf numFmtId="164" fontId="6" fillId="0" borderId="9" xfId="0" applyNumberFormat="1" applyFont="1" applyBorder="1"/>
    <xf numFmtId="164" fontId="6" fillId="0" borderId="9" xfId="1" applyNumberFormat="1" applyFont="1" applyBorder="1"/>
    <xf numFmtId="10" fontId="17" fillId="0" borderId="1" xfId="4" applyNumberFormat="1" applyFont="1" applyBorder="1" applyAlignment="1">
      <alignment horizontal="center"/>
    </xf>
    <xf numFmtId="10" fontId="6" fillId="0" borderId="0" xfId="0" applyNumberFormat="1" applyFont="1" applyBorder="1" applyAlignment="1">
      <alignment horizontal="center"/>
    </xf>
    <xf numFmtId="0" fontId="6" fillId="0" borderId="2" xfId="0" quotePrefix="1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6" fillId="0" borderId="0" xfId="0" quotePrefix="1" applyFont="1"/>
    <xf numFmtId="0" fontId="6" fillId="0" borderId="19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35" fillId="0" borderId="1" xfId="0" applyFont="1" applyBorder="1" applyAlignment="1">
      <alignment wrapText="1"/>
    </xf>
    <xf numFmtId="0" fontId="2" fillId="0" borderId="15" xfId="0" applyFont="1" applyBorder="1"/>
    <xf numFmtId="0" fontId="2" fillId="0" borderId="18" xfId="0" applyFont="1" applyBorder="1"/>
    <xf numFmtId="4" fontId="5" fillId="0" borderId="1" xfId="0" applyNumberFormat="1" applyFont="1" applyBorder="1"/>
    <xf numFmtId="164" fontId="5" fillId="0" borderId="9" xfId="0" applyNumberFormat="1" applyFont="1" applyBorder="1"/>
    <xf numFmtId="164" fontId="36" fillId="0" borderId="9" xfId="0" applyNumberFormat="1" applyFont="1" applyBorder="1"/>
    <xf numFmtId="43" fontId="5" fillId="0" borderId="1" xfId="0" applyNumberFormat="1" applyFont="1" applyBorder="1"/>
    <xf numFmtId="43" fontId="5" fillId="0" borderId="0" xfId="0" applyNumberFormat="1" applyFont="1"/>
    <xf numFmtId="0" fontId="9" fillId="0" borderId="3" xfId="0" applyFont="1" applyBorder="1" applyAlignment="1">
      <alignment horizontal="right"/>
    </xf>
    <xf numFmtId="0" fontId="5" fillId="0" borderId="0" xfId="0" applyFont="1" applyAlignment="1">
      <alignment horizontal="right"/>
    </xf>
    <xf numFmtId="0" fontId="9" fillId="0" borderId="2" xfId="0" applyFont="1" applyBorder="1" applyAlignment="1">
      <alignment horizontal="left"/>
    </xf>
    <xf numFmtId="0" fontId="37" fillId="0" borderId="0" xfId="0" applyFont="1" applyAlignment="1">
      <alignment horizontal="center"/>
    </xf>
    <xf numFmtId="0" fontId="6" fillId="0" borderId="0" xfId="0" applyFont="1" applyProtection="1">
      <protection hidden="1"/>
    </xf>
    <xf numFmtId="0" fontId="37" fillId="0" borderId="0" xfId="0" applyFont="1" applyAlignment="1"/>
    <xf numFmtId="0" fontId="37" fillId="0" borderId="0" xfId="0" applyFont="1" applyAlignment="1" applyProtection="1">
      <alignment horizontal="center"/>
      <protection hidden="1"/>
    </xf>
    <xf numFmtId="0" fontId="6" fillId="0" borderId="0" xfId="0" applyFont="1" applyAlignment="1">
      <alignment horizontal="left"/>
    </xf>
    <xf numFmtId="0" fontId="38" fillId="0" borderId="0" xfId="0" applyFont="1"/>
    <xf numFmtId="0" fontId="6" fillId="0" borderId="0" xfId="0" applyFont="1" applyAlignment="1"/>
    <xf numFmtId="43" fontId="6" fillId="0" borderId="0" xfId="0" applyNumberFormat="1" applyFont="1" applyAlignment="1">
      <alignment horizontal="left"/>
    </xf>
    <xf numFmtId="43" fontId="6" fillId="0" borderId="0" xfId="0" applyNumberFormat="1" applyFont="1" applyProtection="1">
      <protection hidden="1"/>
    </xf>
    <xf numFmtId="164" fontId="13" fillId="0" borderId="0" xfId="0" applyNumberFormat="1" applyFont="1"/>
    <xf numFmtId="43" fontId="39" fillId="0" borderId="0" xfId="1" applyNumberFormat="1" applyFont="1" applyAlignment="1">
      <alignment horizontal="center"/>
    </xf>
    <xf numFmtId="43" fontId="40" fillId="0" borderId="0" xfId="1" applyNumberFormat="1" applyFont="1" applyAlignment="1">
      <alignment horizontal="center"/>
    </xf>
    <xf numFmtId="43" fontId="2" fillId="0" borderId="0" xfId="1" applyFont="1"/>
    <xf numFmtId="0" fontId="10" fillId="0" borderId="0" xfId="0" applyFont="1" applyAlignment="1">
      <alignment horizontal="left"/>
    </xf>
    <xf numFmtId="4" fontId="6" fillId="0" borderId="15" xfId="0" applyNumberFormat="1" applyFont="1" applyBorder="1"/>
    <xf numFmtId="0" fontId="6" fillId="0" borderId="16" xfId="0" applyFont="1" applyBorder="1"/>
    <xf numFmtId="0" fontId="17" fillId="0" borderId="11" xfId="0" applyFont="1" applyBorder="1" applyAlignment="1">
      <alignment horizontal="center"/>
    </xf>
    <xf numFmtId="0" fontId="6" fillId="0" borderId="12" xfId="0" applyFont="1" applyBorder="1"/>
    <xf numFmtId="4" fontId="6" fillId="0" borderId="18" xfId="0" applyNumberFormat="1" applyFont="1" applyBorder="1"/>
    <xf numFmtId="0" fontId="6" fillId="0" borderId="18" xfId="0" applyFont="1" applyBorder="1"/>
    <xf numFmtId="4" fontId="6" fillId="0" borderId="11" xfId="0" applyNumberFormat="1" applyFont="1" applyBorder="1"/>
    <xf numFmtId="0" fontId="3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9" fillId="0" borderId="0" xfId="0" applyNumberFormat="1" applyFont="1" applyAlignment="1">
      <alignment horizontal="right"/>
    </xf>
    <xf numFmtId="43" fontId="0" fillId="0" borderId="0" xfId="1" applyFont="1"/>
    <xf numFmtId="4" fontId="6" fillId="0" borderId="0" xfId="0" applyNumberFormat="1" applyFont="1" applyBorder="1"/>
    <xf numFmtId="4" fontId="2" fillId="0" borderId="0" xfId="0" applyNumberFormat="1" applyFont="1"/>
    <xf numFmtId="43" fontId="10" fillId="0" borderId="0" xfId="1" applyFont="1"/>
    <xf numFmtId="43" fontId="2" fillId="0" borderId="19" xfId="1" applyNumberFormat="1" applyFont="1" applyBorder="1"/>
    <xf numFmtId="4" fontId="2" fillId="0" borderId="19" xfId="0" applyNumberFormat="1" applyFont="1" applyBorder="1"/>
    <xf numFmtId="43" fontId="2" fillId="0" borderId="0" xfId="0" applyNumberFormat="1" applyFont="1"/>
    <xf numFmtId="4" fontId="13" fillId="0" borderId="13" xfId="0" applyNumberFormat="1" applyFont="1" applyBorder="1"/>
    <xf numFmtId="43" fontId="5" fillId="0" borderId="0" xfId="1" applyFont="1"/>
    <xf numFmtId="4" fontId="2" fillId="0" borderId="9" xfId="0" applyNumberFormat="1" applyFont="1" applyBorder="1"/>
    <xf numFmtId="43" fontId="40" fillId="0" borderId="1" xfId="0" applyNumberFormat="1" applyFont="1" applyBorder="1"/>
    <xf numFmtId="0" fontId="13" fillId="0" borderId="1" xfId="0" applyFont="1" applyFill="1" applyBorder="1" applyAlignment="1">
      <alignment horizontal="right"/>
    </xf>
    <xf numFmtId="4" fontId="2" fillId="0" borderId="0" xfId="0" applyNumberFormat="1" applyFont="1" applyAlignment="1">
      <alignment horizontal="right"/>
    </xf>
    <xf numFmtId="43" fontId="2" fillId="0" borderId="0" xfId="1" applyNumberFormat="1" applyFont="1" applyAlignment="1">
      <alignment horizontal="right"/>
    </xf>
    <xf numFmtId="4" fontId="42" fillId="0" borderId="8" xfId="0" applyNumberFormat="1" applyFont="1" applyBorder="1" applyAlignment="1">
      <alignment horizontal="right"/>
    </xf>
    <xf numFmtId="4" fontId="10" fillId="0" borderId="0" xfId="0" applyNumberFormat="1" applyFont="1" applyAlignment="1">
      <alignment horizontal="right"/>
    </xf>
    <xf numFmtId="43" fontId="2" fillId="0" borderId="19" xfId="1" applyNumberFormat="1" applyFont="1" applyBorder="1" applyAlignment="1">
      <alignment horizontal="right"/>
    </xf>
    <xf numFmtId="43" fontId="2" fillId="0" borderId="19" xfId="1" applyFont="1" applyBorder="1"/>
    <xf numFmtId="43" fontId="2" fillId="0" borderId="19" xfId="0" applyNumberFormat="1" applyFont="1" applyBorder="1" applyAlignment="1">
      <alignment horizontal="center"/>
    </xf>
    <xf numFmtId="43" fontId="3" fillId="0" borderId="0" xfId="0" applyNumberFormat="1" applyFont="1"/>
    <xf numFmtId="0" fontId="0" fillId="0" borderId="0" xfId="0" applyFont="1"/>
    <xf numFmtId="4" fontId="6" fillId="0" borderId="9" xfId="0" applyNumberFormat="1" applyFont="1" applyBorder="1"/>
    <xf numFmtId="43" fontId="43" fillId="0" borderId="1" xfId="1" applyFont="1" applyBorder="1"/>
    <xf numFmtId="43" fontId="6" fillId="0" borderId="0" xfId="1" applyFont="1"/>
    <xf numFmtId="43" fontId="5" fillId="0" borderId="0" xfId="1" applyNumberFormat="1" applyFont="1" applyAlignment="1">
      <alignment horizontal="right"/>
    </xf>
    <xf numFmtId="0" fontId="44" fillId="0" borderId="0" xfId="0" applyFont="1" applyAlignment="1">
      <alignment horizontal="right"/>
    </xf>
    <xf numFmtId="164" fontId="26" fillId="0" borderId="10" xfId="1" applyNumberFormat="1" applyFont="1" applyBorder="1"/>
    <xf numFmtId="0" fontId="11" fillId="0" borderId="0" xfId="0" applyFont="1" applyAlignment="1" applyProtection="1">
      <alignment horizontal="right"/>
      <protection hidden="1"/>
    </xf>
    <xf numFmtId="43" fontId="8" fillId="0" borderId="1" xfId="1" applyFont="1" applyBorder="1"/>
    <xf numFmtId="43" fontId="6" fillId="0" borderId="1" xfId="1" applyFont="1" applyBorder="1"/>
    <xf numFmtId="43" fontId="5" fillId="0" borderId="0" xfId="1" applyNumberFormat="1" applyFont="1"/>
    <xf numFmtId="164" fontId="6" fillId="0" borderId="0" xfId="0" applyNumberFormat="1" applyFont="1" applyBorder="1"/>
    <xf numFmtId="43" fontId="17" fillId="0" borderId="19" xfId="0" applyNumberFormat="1" applyFont="1" applyBorder="1"/>
    <xf numFmtId="164" fontId="17" fillId="0" borderId="19" xfId="1" applyNumberFormat="1" applyFont="1" applyBorder="1"/>
    <xf numFmtId="0" fontId="0" fillId="0" borderId="26" xfId="0" applyBorder="1"/>
    <xf numFmtId="0" fontId="2" fillId="0" borderId="22" xfId="0" applyNumberFormat="1" applyFont="1" applyBorder="1" applyAlignment="1">
      <alignment horizontal="left"/>
    </xf>
    <xf numFmtId="0" fontId="0" fillId="0" borderId="20" xfId="0" applyBorder="1"/>
    <xf numFmtId="0" fontId="2" fillId="3" borderId="20" xfId="0" applyNumberFormat="1" applyFont="1" applyFill="1" applyBorder="1" applyAlignment="1">
      <alignment horizontal="center"/>
    </xf>
    <xf numFmtId="0" fontId="2" fillId="3" borderId="24" xfId="0" applyNumberFormat="1" applyFont="1" applyFill="1" applyBorder="1" applyAlignment="1">
      <alignment horizontal="center"/>
    </xf>
    <xf numFmtId="165" fontId="2" fillId="0" borderId="20" xfId="0" applyNumberFormat="1" applyFont="1" applyBorder="1" applyAlignment="1">
      <alignment horizontal="right"/>
    </xf>
    <xf numFmtId="165" fontId="2" fillId="0" borderId="24" xfId="0" applyNumberFormat="1" applyFont="1" applyBorder="1" applyAlignment="1">
      <alignment horizontal="right"/>
    </xf>
    <xf numFmtId="0" fontId="2" fillId="3" borderId="4" xfId="0" applyNumberFormat="1" applyFont="1" applyFill="1" applyBorder="1" applyAlignment="1">
      <alignment horizontal="center"/>
    </xf>
    <xf numFmtId="0" fontId="2" fillId="3" borderId="25" xfId="0" applyNumberFormat="1" applyFont="1" applyFill="1" applyBorder="1" applyAlignment="1">
      <alignment horizontal="center"/>
    </xf>
    <xf numFmtId="165" fontId="2" fillId="0" borderId="4" xfId="0" applyNumberFormat="1" applyFont="1" applyBorder="1" applyAlignment="1">
      <alignment horizontal="right"/>
    </xf>
    <xf numFmtId="0" fontId="46" fillId="0" borderId="23" xfId="0" applyNumberFormat="1" applyFont="1" applyBorder="1" applyAlignment="1">
      <alignment horizontal="left"/>
    </xf>
    <xf numFmtId="165" fontId="2" fillId="0" borderId="25" xfId="0" applyNumberFormat="1" applyFont="1" applyBorder="1" applyAlignment="1">
      <alignment horizontal="right"/>
    </xf>
    <xf numFmtId="165" fontId="2" fillId="0" borderId="28" xfId="0" applyNumberFormat="1" applyFont="1" applyBorder="1" applyAlignment="1">
      <alignment horizontal="right"/>
    </xf>
    <xf numFmtId="165" fontId="2" fillId="0" borderId="29" xfId="0" applyNumberFormat="1" applyFont="1" applyBorder="1" applyAlignment="1">
      <alignment horizontal="right"/>
    </xf>
    <xf numFmtId="9" fontId="2" fillId="0" borderId="20" xfId="0" applyNumberFormat="1" applyFont="1" applyBorder="1" applyAlignment="1">
      <alignment horizontal="right"/>
    </xf>
    <xf numFmtId="9" fontId="2" fillId="0" borderId="24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0" fontId="5" fillId="0" borderId="0" xfId="0" applyNumberFormat="1" applyFont="1" applyAlignment="1">
      <alignment horizontal="center"/>
    </xf>
    <xf numFmtId="3" fontId="5" fillId="0" borderId="19" xfId="0" applyNumberFormat="1" applyFont="1" applyBorder="1" applyAlignment="1">
      <alignment horizontal="center"/>
    </xf>
    <xf numFmtId="10" fontId="5" fillId="0" borderId="0" xfId="0" applyNumberFormat="1" applyFont="1"/>
    <xf numFmtId="9" fontId="5" fillId="0" borderId="0" xfId="0" applyNumberFormat="1" applyFont="1" applyAlignment="1">
      <alignment horizontal="center"/>
    </xf>
    <xf numFmtId="3" fontId="9" fillId="0" borderId="19" xfId="0" applyNumberFormat="1" applyFont="1" applyBorder="1" applyAlignment="1">
      <alignment horizontal="center"/>
    </xf>
    <xf numFmtId="3" fontId="5" fillId="0" borderId="19" xfId="0" applyNumberFormat="1" applyFont="1" applyBorder="1"/>
    <xf numFmtId="43" fontId="5" fillId="0" borderId="19" xfId="1" applyNumberFormat="1" applyFont="1" applyBorder="1" applyAlignment="1">
      <alignment horizontal="center"/>
    </xf>
    <xf numFmtId="43" fontId="9" fillId="0" borderId="1" xfId="1" applyNumberFormat="1" applyFont="1" applyBorder="1" applyAlignment="1">
      <alignment horizontal="center"/>
    </xf>
    <xf numFmtId="43" fontId="5" fillId="0" borderId="10" xfId="1" applyNumberFormat="1" applyFont="1" applyBorder="1"/>
    <xf numFmtId="43" fontId="9" fillId="0" borderId="10" xfId="1" applyNumberFormat="1" applyFont="1" applyBorder="1"/>
    <xf numFmtId="0" fontId="5" fillId="0" borderId="19" xfId="0" applyFont="1" applyBorder="1" applyAlignment="1">
      <alignment horizontal="center"/>
    </xf>
    <xf numFmtId="43" fontId="5" fillId="0" borderId="19" xfId="1" applyNumberFormat="1" applyFont="1" applyBorder="1"/>
    <xf numFmtId="4" fontId="5" fillId="0" borderId="19" xfId="0" applyNumberFormat="1" applyFont="1" applyBorder="1"/>
    <xf numFmtId="43" fontId="9" fillId="0" borderId="0" xfId="1" applyNumberFormat="1" applyFont="1"/>
    <xf numFmtId="0" fontId="5" fillId="0" borderId="19" xfId="0" applyFont="1" applyBorder="1" applyAlignment="1">
      <alignment horizontal="right"/>
    </xf>
    <xf numFmtId="43" fontId="9" fillId="0" borderId="1" xfId="1" applyNumberFormat="1" applyFont="1" applyBorder="1"/>
    <xf numFmtId="164" fontId="5" fillId="0" borderId="0" xfId="1" applyNumberFormat="1" applyFont="1"/>
    <xf numFmtId="4" fontId="5" fillId="0" borderId="0" xfId="0" applyNumberFormat="1" applyFont="1"/>
    <xf numFmtId="0" fontId="5" fillId="0" borderId="1" xfId="0" applyFont="1" applyBorder="1" applyAlignment="1">
      <alignment horizontal="center"/>
    </xf>
    <xf numFmtId="43" fontId="5" fillId="0" borderId="10" xfId="0" applyNumberFormat="1" applyFont="1" applyBorder="1"/>
    <xf numFmtId="10" fontId="5" fillId="0" borderId="19" xfId="2" applyNumberFormat="1" applyFont="1" applyBorder="1" applyAlignment="1">
      <alignment horizontal="center"/>
    </xf>
    <xf numFmtId="10" fontId="9" fillId="0" borderId="1" xfId="2" applyNumberFormat="1" applyFont="1" applyBorder="1" applyAlignment="1">
      <alignment horizontal="center"/>
    </xf>
    <xf numFmtId="0" fontId="37" fillId="0" borderId="0" xfId="0" applyFont="1" applyAlignment="1" applyProtection="1">
      <alignment horizontal="right"/>
      <protection hidden="1"/>
    </xf>
    <xf numFmtId="43" fontId="5" fillId="0" borderId="19" xfId="1" applyFont="1" applyBorder="1"/>
    <xf numFmtId="43" fontId="47" fillId="0" borderId="1" xfId="1" applyFont="1" applyBorder="1"/>
    <xf numFmtId="0" fontId="11" fillId="0" borderId="0" xfId="0" applyFont="1" applyAlignment="1">
      <alignment horizontal="left"/>
    </xf>
    <xf numFmtId="0" fontId="2" fillId="3" borderId="20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0" borderId="22" xfId="0" applyNumberFormat="1" applyFont="1" applyBorder="1" applyAlignment="1">
      <alignment horizontal="left"/>
    </xf>
    <xf numFmtId="0" fontId="2" fillId="0" borderId="23" xfId="0" applyNumberFormat="1" applyFont="1" applyBorder="1" applyAlignment="1">
      <alignment horizontal="left"/>
    </xf>
    <xf numFmtId="0" fontId="40" fillId="0" borderId="0" xfId="0" applyNumberFormat="1" applyFont="1" applyAlignment="1">
      <alignment horizontal="left"/>
    </xf>
    <xf numFmtId="0" fontId="40" fillId="0" borderId="0" xfId="0" applyNumberFormat="1" applyFont="1" applyAlignment="1">
      <alignment horizontal="right"/>
    </xf>
    <xf numFmtId="0" fontId="2" fillId="3" borderId="24" xfId="0" applyNumberFormat="1" applyFont="1" applyFill="1" applyBorder="1" applyAlignment="1">
      <alignment horizontal="center"/>
    </xf>
    <xf numFmtId="0" fontId="2" fillId="3" borderId="25" xfId="0" applyNumberFormat="1" applyFont="1" applyFill="1" applyBorder="1" applyAlignment="1">
      <alignment horizontal="center"/>
    </xf>
    <xf numFmtId="0" fontId="2" fillId="0" borderId="26" xfId="0" applyNumberFormat="1" applyFont="1" applyBorder="1" applyAlignment="1">
      <alignment horizontal="left"/>
    </xf>
    <xf numFmtId="0" fontId="2" fillId="0" borderId="0" xfId="0" applyNumberFormat="1" applyFont="1" applyAlignment="1">
      <alignment horizontal="left"/>
    </xf>
    <xf numFmtId="0" fontId="2" fillId="3" borderId="21" xfId="0" applyNumberFormat="1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9" fontId="40" fillId="0" borderId="0" xfId="0" applyNumberFormat="1" applyFont="1" applyAlignment="1">
      <alignment horizontal="right"/>
    </xf>
    <xf numFmtId="0" fontId="2" fillId="3" borderId="8" xfId="0" applyNumberFormat="1" applyFont="1" applyFill="1" applyBorder="1" applyAlignment="1">
      <alignment horizontal="center"/>
    </xf>
    <xf numFmtId="0" fontId="2" fillId="3" borderId="11" xfId="0" applyNumberFormat="1" applyFont="1" applyFill="1" applyBorder="1" applyAlignment="1">
      <alignment horizontal="center"/>
    </xf>
    <xf numFmtId="0" fontId="2" fillId="3" borderId="10" xfId="0" applyNumberFormat="1" applyFont="1" applyFill="1" applyBorder="1" applyAlignment="1">
      <alignment horizontal="center"/>
    </xf>
    <xf numFmtId="0" fontId="2" fillId="3" borderId="13" xfId="0" applyNumberFormat="1" applyFont="1" applyFill="1" applyBorder="1" applyAlignment="1">
      <alignment horizontal="center"/>
    </xf>
    <xf numFmtId="0" fontId="2" fillId="3" borderId="9" xfId="0" applyNumberFormat="1" applyFont="1" applyFill="1" applyBorder="1" applyAlignment="1">
      <alignment horizontal="center"/>
    </xf>
    <xf numFmtId="0" fontId="2" fillId="3" borderId="15" xfId="0" applyNumberFormat="1" applyFont="1" applyFill="1" applyBorder="1" applyAlignment="1">
      <alignment horizontal="center"/>
    </xf>
    <xf numFmtId="0" fontId="48" fillId="0" borderId="14" xfId="0" applyNumberFormat="1" applyFont="1" applyBorder="1" applyAlignment="1">
      <alignment horizontal="left"/>
    </xf>
    <xf numFmtId="0" fontId="0" fillId="0" borderId="10" xfId="0" applyBorder="1"/>
    <xf numFmtId="165" fontId="3" fillId="0" borderId="10" xfId="0" applyNumberFormat="1" applyFont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7" fontId="2" fillId="0" borderId="10" xfId="0" applyNumberFormat="1" applyFont="1" applyBorder="1" applyAlignment="1">
      <alignment horizontal="right"/>
    </xf>
    <xf numFmtId="165" fontId="2" fillId="0" borderId="13" xfId="0" applyNumberFormat="1" applyFont="1" applyBorder="1" applyAlignment="1">
      <alignment horizontal="right"/>
    </xf>
    <xf numFmtId="0" fontId="2" fillId="0" borderId="14" xfId="0" applyNumberFormat="1" applyFont="1" applyBorder="1" applyAlignment="1">
      <alignment horizontal="left"/>
    </xf>
    <xf numFmtId="165" fontId="3" fillId="3" borderId="8" xfId="0" applyNumberFormat="1" applyFont="1" applyFill="1" applyBorder="1" applyAlignment="1">
      <alignment horizontal="right"/>
    </xf>
    <xf numFmtId="49" fontId="3" fillId="3" borderId="8" xfId="0" applyNumberFormat="1" applyFont="1" applyFill="1" applyBorder="1" applyAlignment="1">
      <alignment horizontal="right"/>
    </xf>
    <xf numFmtId="165" fontId="3" fillId="3" borderId="11" xfId="0" applyNumberFormat="1" applyFont="1" applyFill="1" applyBorder="1" applyAlignment="1">
      <alignment horizontal="right"/>
    </xf>
    <xf numFmtId="0" fontId="3" fillId="0" borderId="12" xfId="0" applyNumberFormat="1" applyFont="1" applyBorder="1" applyAlignment="1">
      <alignment horizontal="left"/>
    </xf>
    <xf numFmtId="0" fontId="0" fillId="0" borderId="8" xfId="0" applyBorder="1"/>
    <xf numFmtId="165" fontId="2" fillId="0" borderId="8" xfId="0" applyNumberFormat="1" applyFont="1" applyBorder="1" applyAlignment="1">
      <alignment horizontal="right"/>
    </xf>
    <xf numFmtId="165" fontId="2" fillId="0" borderId="11" xfId="0" applyNumberFormat="1" applyFont="1" applyBorder="1" applyAlignment="1">
      <alignment horizontal="right"/>
    </xf>
    <xf numFmtId="165" fontId="2" fillId="3" borderId="10" xfId="0" applyNumberFormat="1" applyFont="1" applyFill="1" applyBorder="1" applyAlignment="1">
      <alignment horizontal="right"/>
    </xf>
    <xf numFmtId="165" fontId="2" fillId="3" borderId="13" xfId="0" applyNumberFormat="1" applyFont="1" applyFill="1" applyBorder="1" applyAlignment="1">
      <alignment horizontal="right"/>
    </xf>
    <xf numFmtId="0" fontId="49" fillId="0" borderId="30" xfId="0" applyFont="1" applyFill="1" applyBorder="1" applyAlignment="1">
      <alignment vertical="top"/>
    </xf>
    <xf numFmtId="0" fontId="0" fillId="0" borderId="30" xfId="0" applyBorder="1"/>
    <xf numFmtId="0" fontId="53" fillId="4" borderId="31" xfId="0" applyFont="1" applyFill="1" applyBorder="1" applyAlignment="1">
      <alignment horizontal="center" vertical="center" wrapText="1"/>
    </xf>
    <xf numFmtId="0" fontId="53" fillId="0" borderId="40" xfId="0" applyFont="1" applyFill="1" applyBorder="1" applyAlignment="1">
      <alignment horizontal="right" vertical="center"/>
    </xf>
    <xf numFmtId="0" fontId="53" fillId="0" borderId="41" xfId="0" applyFont="1" applyFill="1" applyBorder="1" applyAlignment="1">
      <alignment horizontal="right" vertical="center"/>
    </xf>
    <xf numFmtId="0" fontId="53" fillId="0" borderId="42" xfId="0" applyFont="1" applyFill="1" applyBorder="1" applyAlignment="1">
      <alignment horizontal="right" vertical="center"/>
    </xf>
    <xf numFmtId="0" fontId="52" fillId="4" borderId="40" xfId="0" applyFont="1" applyFill="1" applyBorder="1" applyAlignment="1">
      <alignment horizontal="right" vertical="center"/>
    </xf>
    <xf numFmtId="0" fontId="52" fillId="4" borderId="42" xfId="0" applyFont="1" applyFill="1" applyBorder="1" applyAlignment="1">
      <alignment horizontal="right" vertical="center"/>
    </xf>
    <xf numFmtId="0" fontId="52" fillId="0" borderId="40" xfId="0" applyFont="1" applyFill="1" applyBorder="1" applyAlignment="1">
      <alignment horizontal="right" vertical="center"/>
    </xf>
    <xf numFmtId="0" fontId="52" fillId="0" borderId="42" xfId="0" applyFont="1" applyFill="1" applyBorder="1" applyAlignment="1">
      <alignment horizontal="right" vertical="center"/>
    </xf>
    <xf numFmtId="0" fontId="0" fillId="0" borderId="37" xfId="0" applyBorder="1"/>
    <xf numFmtId="0" fontId="50" fillId="0" borderId="0" xfId="0" applyFont="1" applyFill="1" applyAlignment="1">
      <alignment horizontal="right" vertical="top"/>
    </xf>
    <xf numFmtId="0" fontId="0" fillId="0" borderId="35" xfId="0" applyBorder="1"/>
    <xf numFmtId="0" fontId="55" fillId="4" borderId="31" xfId="0" applyFont="1" applyFill="1" applyBorder="1" applyAlignment="1">
      <alignment horizontal="center" vertical="center"/>
    </xf>
    <xf numFmtId="0" fontId="56" fillId="0" borderId="40" xfId="0" applyFont="1" applyFill="1" applyBorder="1" applyAlignment="1">
      <alignment vertical="center"/>
    </xf>
    <xf numFmtId="0" fontId="52" fillId="0" borderId="41" xfId="0" applyFont="1" applyFill="1" applyBorder="1" applyAlignment="1">
      <alignment vertical="center"/>
    </xf>
    <xf numFmtId="0" fontId="56" fillId="0" borderId="41" xfId="0" applyFont="1" applyFill="1" applyBorder="1" applyAlignment="1">
      <alignment vertical="center"/>
    </xf>
    <xf numFmtId="0" fontId="56" fillId="0" borderId="42" xfId="0" applyFont="1" applyFill="1" applyBorder="1" applyAlignment="1">
      <alignment vertical="center"/>
    </xf>
    <xf numFmtId="0" fontId="52" fillId="5" borderId="31" xfId="0" applyFont="1" applyFill="1" applyBorder="1" applyAlignment="1">
      <alignment vertical="center"/>
    </xf>
    <xf numFmtId="0" fontId="0" fillId="0" borderId="33" xfId="0" applyBorder="1"/>
    <xf numFmtId="0" fontId="52" fillId="4" borderId="31" xfId="0" applyFont="1" applyFill="1" applyBorder="1" applyAlignment="1">
      <alignment horizontal="center" vertical="center" wrapText="1"/>
    </xf>
    <xf numFmtId="0" fontId="52" fillId="0" borderId="40" xfId="0" applyFont="1" applyFill="1" applyBorder="1" applyAlignment="1">
      <alignment vertical="center"/>
    </xf>
    <xf numFmtId="4" fontId="53" fillId="0" borderId="40" xfId="0" applyNumberFormat="1" applyFont="1" applyFill="1" applyBorder="1" applyAlignment="1">
      <alignment horizontal="right" vertical="center"/>
    </xf>
    <xf numFmtId="0" fontId="54" fillId="0" borderId="35" xfId="0" applyFont="1" applyFill="1" applyBorder="1" applyAlignment="1">
      <alignment vertical="top"/>
    </xf>
    <xf numFmtId="4" fontId="53" fillId="0" borderId="41" xfId="0" applyNumberFormat="1" applyFont="1" applyFill="1" applyBorder="1" applyAlignment="1">
      <alignment horizontal="right" vertical="center"/>
    </xf>
    <xf numFmtId="4" fontId="53" fillId="0" borderId="42" xfId="0" applyNumberFormat="1" applyFont="1" applyFill="1" applyBorder="1" applyAlignment="1">
      <alignment horizontal="right" vertical="center"/>
    </xf>
    <xf numFmtId="4" fontId="52" fillId="5" borderId="31" xfId="0" applyNumberFormat="1" applyFont="1" applyFill="1" applyBorder="1" applyAlignment="1">
      <alignment horizontal="right" vertical="center"/>
    </xf>
    <xf numFmtId="0" fontId="55" fillId="4" borderId="31" xfId="0" applyFont="1" applyFill="1" applyBorder="1" applyAlignment="1">
      <alignment vertical="center"/>
    </xf>
    <xf numFmtId="0" fontId="57" fillId="0" borderId="31" xfId="0" applyFont="1" applyFill="1" applyBorder="1" applyAlignment="1">
      <alignment horizontal="justify" vertical="center"/>
    </xf>
    <xf numFmtId="4" fontId="52" fillId="0" borderId="40" xfId="0" applyNumberFormat="1" applyFont="1" applyFill="1" applyBorder="1" applyAlignment="1">
      <alignment horizontal="right" vertical="center"/>
    </xf>
    <xf numFmtId="4" fontId="52" fillId="0" borderId="41" xfId="0" applyNumberFormat="1" applyFont="1" applyFill="1" applyBorder="1" applyAlignment="1">
      <alignment horizontal="right" vertical="center"/>
    </xf>
    <xf numFmtId="0" fontId="56" fillId="0" borderId="31" xfId="0" applyFont="1" applyFill="1" applyBorder="1" applyAlignment="1">
      <alignment vertical="center"/>
    </xf>
    <xf numFmtId="0" fontId="40" fillId="0" borderId="0" xfId="0" applyFont="1"/>
    <xf numFmtId="0" fontId="0" fillId="0" borderId="0" xfId="0" applyBorder="1"/>
    <xf numFmtId="0" fontId="58" fillId="0" borderId="41" xfId="0" applyFont="1" applyFill="1" applyBorder="1" applyAlignment="1">
      <alignment vertical="center"/>
    </xf>
    <xf numFmtId="0" fontId="5" fillId="0" borderId="35" xfId="0" applyFont="1" applyBorder="1"/>
    <xf numFmtId="0" fontId="59" fillId="0" borderId="41" xfId="0" applyFont="1" applyFill="1" applyBorder="1" applyAlignment="1">
      <alignment vertical="center"/>
    </xf>
    <xf numFmtId="0" fontId="58" fillId="0" borderId="42" xfId="0" applyFont="1" applyFill="1" applyBorder="1" applyAlignment="1">
      <alignment vertical="center"/>
    </xf>
    <xf numFmtId="0" fontId="60" fillId="0" borderId="30" xfId="0" applyFont="1" applyFill="1" applyBorder="1" applyAlignment="1">
      <alignment vertical="top"/>
    </xf>
    <xf numFmtId="0" fontId="58" fillId="0" borderId="40" xfId="0" applyFont="1" applyFill="1" applyBorder="1" applyAlignment="1">
      <alignment horizontal="right" vertical="center"/>
    </xf>
    <xf numFmtId="0" fontId="58" fillId="0" borderId="41" xfId="0" applyFont="1" applyFill="1" applyBorder="1" applyAlignment="1">
      <alignment horizontal="right" vertical="center"/>
    </xf>
    <xf numFmtId="0" fontId="58" fillId="0" borderId="42" xfId="0" applyFont="1" applyFill="1" applyBorder="1" applyAlignment="1">
      <alignment horizontal="right" vertical="center"/>
    </xf>
    <xf numFmtId="0" fontId="58" fillId="4" borderId="31" xfId="0" applyFont="1" applyFill="1" applyBorder="1" applyAlignment="1">
      <alignment horizontal="right" vertical="center"/>
    </xf>
    <xf numFmtId="0" fontId="58" fillId="0" borderId="32" xfId="0" applyFont="1" applyFill="1" applyBorder="1" applyAlignment="1">
      <alignment horizontal="right" vertical="center"/>
    </xf>
    <xf numFmtId="0" fontId="58" fillId="0" borderId="36" xfId="0" applyFont="1" applyFill="1" applyBorder="1" applyAlignment="1">
      <alignment horizontal="right" vertical="center"/>
    </xf>
    <xf numFmtId="0" fontId="58" fillId="0" borderId="39" xfId="0" applyFont="1" applyFill="1" applyBorder="1" applyAlignment="1">
      <alignment horizontal="right" vertical="center"/>
    </xf>
    <xf numFmtId="0" fontId="0" fillId="0" borderId="43" xfId="0" applyBorder="1"/>
    <xf numFmtId="0" fontId="0" fillId="0" borderId="38" xfId="0" applyBorder="1"/>
    <xf numFmtId="49" fontId="2" fillId="0" borderId="0" xfId="0" applyNumberFormat="1" applyFont="1" applyAlignment="1">
      <alignment horizontal="right"/>
    </xf>
    <xf numFmtId="169" fontId="2" fillId="0" borderId="20" xfId="0" applyNumberFormat="1" applyFont="1" applyBorder="1" applyAlignment="1">
      <alignment horizontal="right"/>
    </xf>
    <xf numFmtId="169" fontId="2" fillId="0" borderId="4" xfId="0" applyNumberFormat="1" applyFont="1" applyBorder="1" applyAlignment="1">
      <alignment horizontal="right"/>
    </xf>
    <xf numFmtId="0" fontId="2" fillId="0" borderId="23" xfId="0" applyNumberFormat="1" applyFont="1" applyBorder="1" applyAlignment="1">
      <alignment horizontal="left" indent="1"/>
    </xf>
    <xf numFmtId="169" fontId="2" fillId="0" borderId="24" xfId="0" applyNumberFormat="1" applyFont="1" applyBorder="1" applyAlignment="1">
      <alignment horizontal="right"/>
    </xf>
    <xf numFmtId="169" fontId="2" fillId="0" borderId="25" xfId="0" applyNumberFormat="1" applyFont="1" applyBorder="1" applyAlignment="1">
      <alignment horizontal="right"/>
    </xf>
    <xf numFmtId="0" fontId="2" fillId="0" borderId="23" xfId="0" applyNumberFormat="1" applyFont="1" applyBorder="1" applyAlignment="1">
      <alignment horizontal="left" indent="2"/>
    </xf>
    <xf numFmtId="0" fontId="2" fillId="3" borderId="27" xfId="0" applyNumberFormat="1" applyFont="1" applyFill="1" applyBorder="1" applyAlignment="1">
      <alignment horizontal="left"/>
    </xf>
    <xf numFmtId="169" fontId="2" fillId="3" borderId="28" xfId="0" applyNumberFormat="1" applyFont="1" applyFill="1" applyBorder="1" applyAlignment="1">
      <alignment horizontal="right"/>
    </xf>
    <xf numFmtId="169" fontId="2" fillId="3" borderId="29" xfId="0" applyNumberFormat="1" applyFont="1" applyFill="1" applyBorder="1" applyAlignment="1">
      <alignment horizontal="right"/>
    </xf>
    <xf numFmtId="0" fontId="61" fillId="0" borderId="0" xfId="0" applyFont="1" applyFill="1" applyAlignment="1">
      <alignment horizontal="right" vertical="top"/>
    </xf>
    <xf numFmtId="0" fontId="59" fillId="4" borderId="31" xfId="0" applyFont="1" applyFill="1" applyBorder="1" applyAlignment="1">
      <alignment horizontal="center" vertical="center"/>
    </xf>
    <xf numFmtId="0" fontId="58" fillId="0" borderId="40" xfId="0" applyFont="1" applyFill="1" applyBorder="1" applyAlignment="1">
      <alignment vertical="center" wrapText="1"/>
    </xf>
    <xf numFmtId="0" fontId="58" fillId="0" borderId="41" xfId="0" applyFont="1" applyFill="1" applyBorder="1" applyAlignment="1">
      <alignment vertical="center" wrapText="1"/>
    </xf>
    <xf numFmtId="0" fontId="59" fillId="0" borderId="41" xfId="0" applyFont="1" applyFill="1" applyBorder="1" applyAlignment="1">
      <alignment vertical="center" wrapText="1"/>
    </xf>
    <xf numFmtId="0" fontId="59" fillId="0" borderId="42" xfId="0" applyFont="1" applyFill="1" applyBorder="1" applyAlignment="1">
      <alignment vertical="center" wrapText="1"/>
    </xf>
    <xf numFmtId="0" fontId="58" fillId="0" borderId="42" xfId="0" applyFont="1" applyFill="1" applyBorder="1" applyAlignment="1">
      <alignment vertical="center" wrapText="1"/>
    </xf>
    <xf numFmtId="0" fontId="59" fillId="5" borderId="31" xfId="0" applyFont="1" applyFill="1" applyBorder="1" applyAlignment="1">
      <alignment vertical="center" wrapText="1"/>
    </xf>
    <xf numFmtId="0" fontId="59" fillId="4" borderId="31" xfId="0" applyFont="1" applyFill="1" applyBorder="1" applyAlignment="1">
      <alignment horizontal="center" vertical="center" wrapText="1"/>
    </xf>
    <xf numFmtId="0" fontId="58" fillId="0" borderId="40" xfId="0" applyFont="1" applyFill="1" applyBorder="1" applyAlignment="1">
      <alignment vertical="center"/>
    </xf>
    <xf numFmtId="0" fontId="60" fillId="0" borderId="35" xfId="0" applyFont="1" applyFill="1" applyBorder="1" applyAlignment="1">
      <alignment vertical="top"/>
    </xf>
    <xf numFmtId="0" fontId="59" fillId="5" borderId="31" xfId="0" applyFont="1" applyFill="1" applyBorder="1" applyAlignment="1">
      <alignment vertical="center"/>
    </xf>
    <xf numFmtId="0" fontId="58" fillId="0" borderId="31" xfId="0" applyFont="1" applyFill="1" applyBorder="1" applyAlignment="1">
      <alignment vertical="center"/>
    </xf>
    <xf numFmtId="4" fontId="58" fillId="0" borderId="40" xfId="0" applyNumberFormat="1" applyFont="1" applyFill="1" applyBorder="1" applyAlignment="1">
      <alignment horizontal="right" vertical="center"/>
    </xf>
    <xf numFmtId="4" fontId="58" fillId="0" borderId="41" xfId="0" applyNumberFormat="1" applyFont="1" applyFill="1" applyBorder="1" applyAlignment="1">
      <alignment horizontal="right" vertical="center"/>
    </xf>
    <xf numFmtId="4" fontId="58" fillId="0" borderId="42" xfId="0" applyNumberFormat="1" applyFont="1" applyFill="1" applyBorder="1" applyAlignment="1">
      <alignment horizontal="right" vertical="center"/>
    </xf>
    <xf numFmtId="0" fontId="66" fillId="0" borderId="40" xfId="0" applyFont="1" applyFill="1" applyBorder="1" applyAlignment="1">
      <alignment horizontal="center" vertical="center"/>
    </xf>
    <xf numFmtId="0" fontId="66" fillId="0" borderId="42" xfId="0" applyFont="1" applyFill="1" applyBorder="1" applyAlignment="1">
      <alignment horizontal="center" vertical="center"/>
    </xf>
    <xf numFmtId="170" fontId="50" fillId="0" borderId="31" xfId="0" applyNumberFormat="1" applyFont="1" applyFill="1" applyBorder="1" applyAlignment="1">
      <alignment horizontal="right" vertical="center" wrapText="1"/>
    </xf>
    <xf numFmtId="0" fontId="66" fillId="0" borderId="41" xfId="0" applyFont="1" applyFill="1" applyBorder="1" applyAlignment="1">
      <alignment horizontal="center" vertical="center"/>
    </xf>
    <xf numFmtId="0" fontId="0" fillId="0" borderId="6" xfId="0" applyBorder="1"/>
    <xf numFmtId="0" fontId="2" fillId="0" borderId="7" xfId="0" applyNumberFormat="1" applyFont="1" applyBorder="1" applyAlignment="1">
      <alignment horizontal="left"/>
    </xf>
    <xf numFmtId="169" fontId="2" fillId="0" borderId="21" xfId="0" applyNumberFormat="1" applyFont="1" applyBorder="1" applyAlignment="1">
      <alignment horizontal="right"/>
    </xf>
    <xf numFmtId="169" fontId="2" fillId="0" borderId="5" xfId="0" applyNumberFormat="1" applyFont="1" applyBorder="1" applyAlignment="1">
      <alignment horizontal="right"/>
    </xf>
    <xf numFmtId="0" fontId="0" fillId="0" borderId="22" xfId="0" applyBorder="1"/>
    <xf numFmtId="49" fontId="2" fillId="3" borderId="20" xfId="0" applyNumberFormat="1" applyFont="1" applyFill="1" applyBorder="1" applyAlignment="1">
      <alignment horizontal="center"/>
    </xf>
    <xf numFmtId="0" fontId="0" fillId="0" borderId="21" xfId="0" applyBorder="1"/>
    <xf numFmtId="0" fontId="0" fillId="0" borderId="0" xfId="0" applyFont="1" applyAlignment="1">
      <alignment horizontal="justify" vertical="justify"/>
    </xf>
    <xf numFmtId="0" fontId="56" fillId="0" borderId="40" xfId="0" applyFont="1" applyFill="1" applyBorder="1" applyAlignment="1">
      <alignment horizontal="right" vertical="center"/>
    </xf>
    <xf numFmtId="0" fontId="56" fillId="0" borderId="41" xfId="0" applyFont="1" applyFill="1" applyBorder="1" applyAlignment="1">
      <alignment horizontal="right" vertical="center"/>
    </xf>
    <xf numFmtId="0" fontId="56" fillId="0" borderId="42" xfId="0" applyFont="1" applyFill="1" applyBorder="1" applyAlignment="1">
      <alignment horizontal="right" vertical="center"/>
    </xf>
    <xf numFmtId="0" fontId="53" fillId="0" borderId="0" xfId="0" applyFont="1" applyFill="1"/>
    <xf numFmtId="49" fontId="71" fillId="0" borderId="0" xfId="0" applyNumberFormat="1" applyFont="1" applyAlignment="1">
      <alignment horizontal="right"/>
    </xf>
    <xf numFmtId="0" fontId="48" fillId="3" borderId="8" xfId="0" applyNumberFormat="1" applyFont="1" applyFill="1" applyBorder="1" applyAlignment="1">
      <alignment horizontal="center" vertical="top"/>
    </xf>
    <xf numFmtId="0" fontId="48" fillId="3" borderId="11" xfId="0" applyNumberFormat="1" applyFont="1" applyFill="1" applyBorder="1" applyAlignment="1">
      <alignment horizontal="center" vertical="top" wrapText="1"/>
    </xf>
    <xf numFmtId="0" fontId="48" fillId="3" borderId="10" xfId="0" applyNumberFormat="1" applyFont="1" applyFill="1" applyBorder="1" applyAlignment="1">
      <alignment horizontal="center"/>
    </xf>
    <xf numFmtId="0" fontId="48" fillId="3" borderId="13" xfId="0" applyNumberFormat="1" applyFont="1" applyFill="1" applyBorder="1" applyAlignment="1">
      <alignment horizontal="center"/>
    </xf>
    <xf numFmtId="169" fontId="71" fillId="0" borderId="8" xfId="0" applyNumberFormat="1" applyFont="1" applyBorder="1" applyAlignment="1">
      <alignment horizontal="right"/>
    </xf>
    <xf numFmtId="169" fontId="71" fillId="0" borderId="11" xfId="0" applyNumberFormat="1" applyFont="1" applyBorder="1" applyAlignment="1">
      <alignment horizontal="right"/>
    </xf>
    <xf numFmtId="169" fontId="71" fillId="0" borderId="10" xfId="0" applyNumberFormat="1" applyFont="1" applyBorder="1" applyAlignment="1">
      <alignment horizontal="right"/>
    </xf>
    <xf numFmtId="169" fontId="71" fillId="0" borderId="13" xfId="0" applyNumberFormat="1" applyFont="1" applyBorder="1" applyAlignment="1">
      <alignment horizontal="right"/>
    </xf>
    <xf numFmtId="0" fontId="71" fillId="0" borderId="14" xfId="0" applyNumberFormat="1" applyFont="1" applyBorder="1" applyAlignment="1">
      <alignment horizontal="left"/>
    </xf>
    <xf numFmtId="0" fontId="48" fillId="3" borderId="8" xfId="0" applyNumberFormat="1" applyFont="1" applyFill="1" applyBorder="1" applyAlignment="1">
      <alignment horizontal="center"/>
    </xf>
    <xf numFmtId="0" fontId="48" fillId="3" borderId="11" xfId="0" applyNumberFormat="1" applyFont="1" applyFill="1" applyBorder="1" applyAlignment="1">
      <alignment horizontal="center"/>
    </xf>
    <xf numFmtId="169" fontId="71" fillId="3" borderId="8" xfId="0" applyNumberFormat="1" applyFont="1" applyFill="1" applyBorder="1" applyAlignment="1">
      <alignment horizontal="right"/>
    </xf>
    <xf numFmtId="169" fontId="71" fillId="3" borderId="11" xfId="0" applyNumberFormat="1" applyFont="1" applyFill="1" applyBorder="1" applyAlignment="1">
      <alignment horizontal="right"/>
    </xf>
    <xf numFmtId="169" fontId="71" fillId="0" borderId="1" xfId="0" applyNumberFormat="1" applyFont="1" applyBorder="1" applyAlignment="1">
      <alignment horizontal="right"/>
    </xf>
    <xf numFmtId="169" fontId="71" fillId="0" borderId="2" xfId="0" applyNumberFormat="1" applyFont="1" applyBorder="1" applyAlignment="1">
      <alignment horizontal="right"/>
    </xf>
    <xf numFmtId="169" fontId="2" fillId="8" borderId="20" xfId="0" applyNumberFormat="1" applyFont="1" applyFill="1" applyBorder="1" applyAlignment="1">
      <alignment horizontal="right"/>
    </xf>
    <xf numFmtId="169" fontId="2" fillId="8" borderId="4" xfId="0" applyNumberFormat="1" applyFont="1" applyFill="1" applyBorder="1" applyAlignment="1">
      <alignment horizontal="right"/>
    </xf>
    <xf numFmtId="169" fontId="2" fillId="8" borderId="24" xfId="0" applyNumberFormat="1" applyFont="1" applyFill="1" applyBorder="1" applyAlignment="1">
      <alignment horizontal="right"/>
    </xf>
    <xf numFmtId="169" fontId="2" fillId="8" borderId="25" xfId="0" applyNumberFormat="1" applyFont="1" applyFill="1" applyBorder="1" applyAlignment="1">
      <alignment horizontal="right"/>
    </xf>
    <xf numFmtId="0" fontId="2" fillId="8" borderId="23" xfId="0" applyNumberFormat="1" applyFont="1" applyFill="1" applyBorder="1" applyAlignment="1">
      <alignment horizontal="left"/>
    </xf>
    <xf numFmtId="169" fontId="2" fillId="3" borderId="20" xfId="0" applyNumberFormat="1" applyFont="1" applyFill="1" applyBorder="1" applyAlignment="1">
      <alignment horizontal="right"/>
    </xf>
    <xf numFmtId="169" fontId="2" fillId="3" borderId="4" xfId="0" applyNumberFormat="1" applyFont="1" applyFill="1" applyBorder="1" applyAlignment="1">
      <alignment horizontal="right"/>
    </xf>
    <xf numFmtId="169" fontId="2" fillId="8" borderId="21" xfId="0" applyNumberFormat="1" applyFont="1" applyFill="1" applyBorder="1" applyAlignment="1">
      <alignment horizontal="right"/>
    </xf>
    <xf numFmtId="169" fontId="2" fillId="8" borderId="5" xfId="0" applyNumberFormat="1" applyFont="1" applyFill="1" applyBorder="1" applyAlignment="1">
      <alignment horizontal="right"/>
    </xf>
    <xf numFmtId="0" fontId="52" fillId="4" borderId="40" xfId="0" applyFont="1" applyFill="1" applyBorder="1" applyAlignment="1">
      <alignment horizontal="center" vertical="center" wrapText="1"/>
    </xf>
    <xf numFmtId="0" fontId="52" fillId="4" borderId="42" xfId="0" applyFont="1" applyFill="1" applyBorder="1" applyAlignment="1">
      <alignment horizontal="center" vertical="center" wrapText="1"/>
    </xf>
    <xf numFmtId="0" fontId="52" fillId="0" borderId="31" xfId="0" applyFont="1" applyFill="1" applyBorder="1" applyAlignment="1">
      <alignment vertical="center"/>
    </xf>
    <xf numFmtId="0" fontId="52" fillId="0" borderId="31" xfId="0" applyFont="1" applyFill="1" applyBorder="1" applyAlignment="1">
      <alignment horizontal="right" vertical="center"/>
    </xf>
    <xf numFmtId="0" fontId="53" fillId="0" borderId="40" xfId="0" applyFont="1" applyFill="1" applyBorder="1" applyAlignment="1">
      <alignment vertical="center"/>
    </xf>
    <xf numFmtId="0" fontId="53" fillId="0" borderId="42" xfId="0" applyFont="1" applyFill="1" applyBorder="1" applyAlignment="1">
      <alignment vertical="center"/>
    </xf>
    <xf numFmtId="0" fontId="53" fillId="0" borderId="41" xfId="0" applyFont="1" applyFill="1" applyBorder="1" applyAlignment="1">
      <alignment vertical="center"/>
    </xf>
    <xf numFmtId="0" fontId="52" fillId="5" borderId="31" xfId="0" applyFont="1" applyFill="1" applyBorder="1" applyAlignment="1">
      <alignment horizontal="right" vertical="center"/>
    </xf>
    <xf numFmtId="0" fontId="3" fillId="3" borderId="12" xfId="0" applyNumberFormat="1" applyFont="1" applyFill="1" applyBorder="1" applyAlignment="1">
      <alignment horizontal="center"/>
    </xf>
    <xf numFmtId="0" fontId="2" fillId="0" borderId="12" xfId="0" applyNumberFormat="1" applyFont="1" applyBorder="1" applyAlignment="1">
      <alignment horizontal="left"/>
    </xf>
    <xf numFmtId="0" fontId="2" fillId="0" borderId="16" xfId="0" applyNumberFormat="1" applyFont="1" applyBorder="1" applyAlignment="1">
      <alignment horizontal="left"/>
    </xf>
    <xf numFmtId="0" fontId="3" fillId="3" borderId="8" xfId="0" applyNumberFormat="1" applyFont="1" applyFill="1" applyBorder="1" applyAlignment="1">
      <alignment horizontal="center"/>
    </xf>
    <xf numFmtId="0" fontId="3" fillId="3" borderId="11" xfId="0" applyNumberFormat="1" applyFont="1" applyFill="1" applyBorder="1" applyAlignment="1">
      <alignment horizontal="center"/>
    </xf>
    <xf numFmtId="169" fontId="2" fillId="0" borderId="8" xfId="0" applyNumberFormat="1" applyFont="1" applyBorder="1" applyAlignment="1">
      <alignment horizontal="right"/>
    </xf>
    <xf numFmtId="169" fontId="2" fillId="0" borderId="11" xfId="0" applyNumberFormat="1" applyFont="1" applyBorder="1" applyAlignment="1">
      <alignment horizontal="right"/>
    </xf>
    <xf numFmtId="169" fontId="2" fillId="0" borderId="10" xfId="0" applyNumberFormat="1" applyFont="1" applyBorder="1" applyAlignment="1">
      <alignment horizontal="right"/>
    </xf>
    <xf numFmtId="169" fontId="2" fillId="0" borderId="13" xfId="0" applyNumberFormat="1" applyFont="1" applyBorder="1" applyAlignment="1">
      <alignment horizontal="right"/>
    </xf>
    <xf numFmtId="169" fontId="2" fillId="0" borderId="9" xfId="0" applyNumberFormat="1" applyFont="1" applyBorder="1" applyAlignment="1">
      <alignment horizontal="right"/>
    </xf>
    <xf numFmtId="169" fontId="2" fillId="0" borderId="15" xfId="0" applyNumberFormat="1" applyFont="1" applyBorder="1" applyAlignment="1">
      <alignment horizontal="right"/>
    </xf>
    <xf numFmtId="10" fontId="12" fillId="0" borderId="0" xfId="2" applyNumberFormat="1" applyFont="1"/>
    <xf numFmtId="10" fontId="12" fillId="0" borderId="0" xfId="2" applyNumberFormat="1" applyFont="1" applyAlignment="1">
      <alignment horizontal="center"/>
    </xf>
    <xf numFmtId="0" fontId="2" fillId="0" borderId="14" xfId="0" applyNumberFormat="1" applyFont="1" applyBorder="1" applyAlignment="1">
      <alignment horizontal="left"/>
    </xf>
    <xf numFmtId="4" fontId="58" fillId="0" borderId="41" xfId="0" applyNumberFormat="1" applyFont="1" applyFill="1" applyBorder="1" applyAlignment="1">
      <alignment horizontal="right" vertical="center"/>
    </xf>
    <xf numFmtId="4" fontId="58" fillId="0" borderId="42" xfId="0" applyNumberFormat="1" applyFont="1" applyFill="1" applyBorder="1" applyAlignment="1">
      <alignment horizontal="right" vertical="center"/>
    </xf>
    <xf numFmtId="0" fontId="58" fillId="0" borderId="42" xfId="0" applyFont="1" applyFill="1" applyBorder="1" applyAlignment="1">
      <alignment horizontal="right" vertical="center"/>
    </xf>
    <xf numFmtId="0" fontId="58" fillId="0" borderId="41" xfId="0" applyFont="1" applyFill="1" applyBorder="1" applyAlignment="1">
      <alignment horizontal="right" vertical="center"/>
    </xf>
    <xf numFmtId="0" fontId="58" fillId="0" borderId="40" xfId="0" applyFont="1" applyFill="1" applyBorder="1" applyAlignment="1">
      <alignment horizontal="right" vertical="center"/>
    </xf>
    <xf numFmtId="0" fontId="58" fillId="0" borderId="31" xfId="0" applyFont="1" applyFill="1" applyBorder="1" applyAlignment="1">
      <alignment horizontal="right" vertical="center"/>
    </xf>
    <xf numFmtId="0" fontId="58" fillId="0" borderId="42" xfId="0" applyFont="1" applyFill="1" applyBorder="1" applyAlignment="1">
      <alignment vertical="center"/>
    </xf>
    <xf numFmtId="0" fontId="61" fillId="0" borderId="0" xfId="0" applyFont="1" applyFill="1" applyAlignment="1">
      <alignment horizontal="right" vertical="top"/>
    </xf>
    <xf numFmtId="0" fontId="58" fillId="0" borderId="41" xfId="0" applyFont="1" applyFill="1" applyBorder="1" applyAlignment="1">
      <alignment vertical="center"/>
    </xf>
    <xf numFmtId="0" fontId="58" fillId="0" borderId="40" xfId="0" applyFont="1" applyFill="1" applyBorder="1" applyAlignment="1">
      <alignment vertical="center"/>
    </xf>
    <xf numFmtId="0" fontId="59" fillId="4" borderId="31" xfId="0" applyFont="1" applyFill="1" applyBorder="1" applyAlignment="1">
      <alignment horizontal="center" vertical="center" wrapText="1"/>
    </xf>
    <xf numFmtId="4" fontId="58" fillId="0" borderId="40" xfId="0" applyNumberFormat="1" applyFont="1" applyFill="1" applyBorder="1" applyAlignment="1">
      <alignment horizontal="right" vertical="center"/>
    </xf>
    <xf numFmtId="4" fontId="58" fillId="0" borderId="31" xfId="0" applyNumberFormat="1" applyFont="1" applyFill="1" applyBorder="1" applyAlignment="1">
      <alignment horizontal="right" vertical="center"/>
    </xf>
    <xf numFmtId="169" fontId="2" fillId="0" borderId="15" xfId="0" applyNumberFormat="1" applyFont="1" applyBorder="1" applyAlignment="1">
      <alignment horizontal="right"/>
    </xf>
    <xf numFmtId="0" fontId="2" fillId="3" borderId="22" xfId="0" applyNumberFormat="1" applyFont="1" applyFill="1" applyBorder="1" applyAlignment="1">
      <alignment horizontal="center"/>
    </xf>
    <xf numFmtId="0" fontId="2" fillId="3" borderId="20" xfId="0" applyNumberFormat="1" applyFont="1" applyFill="1" applyBorder="1" applyAlignment="1">
      <alignment horizontal="center"/>
    </xf>
    <xf numFmtId="0" fontId="2" fillId="3" borderId="4" xfId="0" applyNumberFormat="1" applyFont="1" applyFill="1" applyBorder="1" applyAlignment="1">
      <alignment horizontal="center"/>
    </xf>
    <xf numFmtId="0" fontId="2" fillId="0" borderId="27" xfId="0" applyNumberFormat="1" applyFont="1" applyBorder="1" applyAlignment="1">
      <alignment horizontal="left"/>
    </xf>
    <xf numFmtId="0" fontId="2" fillId="0" borderId="28" xfId="0" applyNumberFormat="1" applyFont="1" applyBorder="1" applyAlignment="1">
      <alignment horizontal="left"/>
    </xf>
    <xf numFmtId="165" fontId="2" fillId="0" borderId="28" xfId="0" applyNumberFormat="1" applyFont="1" applyBorder="1" applyAlignment="1">
      <alignment horizontal="right"/>
    </xf>
    <xf numFmtId="165" fontId="2" fillId="0" borderId="29" xfId="0" applyNumberFormat="1" applyFont="1" applyBorder="1" applyAlignment="1">
      <alignment horizontal="right"/>
    </xf>
    <xf numFmtId="0" fontId="2" fillId="3" borderId="0" xfId="0" applyNumberFormat="1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/>
    </xf>
    <xf numFmtId="0" fontId="2" fillId="3" borderId="6" xfId="0" applyNumberFormat="1" applyFont="1" applyFill="1" applyBorder="1" applyAlignment="1">
      <alignment horizontal="center" vertical="center"/>
    </xf>
    <xf numFmtId="0" fontId="2" fillId="3" borderId="24" xfId="0" applyNumberFormat="1" applyFont="1" applyFill="1" applyBorder="1" applyAlignment="1">
      <alignment horizontal="center"/>
    </xf>
    <xf numFmtId="0" fontId="2" fillId="3" borderId="25" xfId="0" applyNumberFormat="1" applyFont="1" applyFill="1" applyBorder="1" applyAlignment="1">
      <alignment horizontal="center"/>
    </xf>
    <xf numFmtId="0" fontId="2" fillId="0" borderId="26" xfId="0" applyNumberFormat="1" applyFont="1" applyBorder="1" applyAlignment="1">
      <alignment horizontal="left"/>
    </xf>
    <xf numFmtId="0" fontId="2" fillId="0" borderId="22" xfId="0" applyNumberFormat="1" applyFont="1" applyBorder="1" applyAlignment="1">
      <alignment horizontal="left"/>
    </xf>
    <xf numFmtId="0" fontId="2" fillId="0" borderId="20" xfId="0" applyNumberFormat="1" applyFont="1" applyBorder="1" applyAlignment="1">
      <alignment horizontal="left"/>
    </xf>
    <xf numFmtId="166" fontId="2" fillId="0" borderId="4" xfId="0" applyNumberFormat="1" applyFont="1" applyBorder="1" applyAlignment="1">
      <alignment horizontal="right"/>
    </xf>
    <xf numFmtId="0" fontId="0" fillId="0" borderId="26" xfId="0" applyBorder="1" applyAlignment="1">
      <alignment horizontal="right"/>
    </xf>
    <xf numFmtId="0" fontId="2" fillId="0" borderId="23" xfId="0" applyNumberFormat="1" applyFont="1" applyBorder="1" applyAlignment="1">
      <alignment horizontal="left"/>
    </xf>
    <xf numFmtId="0" fontId="2" fillId="0" borderId="24" xfId="0" applyNumberFormat="1" applyFont="1" applyBorder="1" applyAlignment="1">
      <alignment horizontal="left"/>
    </xf>
    <xf numFmtId="165" fontId="2" fillId="0" borderId="24" xfId="0" applyNumberFormat="1" applyFont="1" applyBorder="1" applyAlignment="1">
      <alignment horizontal="right"/>
    </xf>
    <xf numFmtId="165" fontId="2" fillId="0" borderId="25" xfId="0" applyNumberFormat="1" applyFont="1" applyBorder="1" applyAlignment="1">
      <alignment horizontal="right"/>
    </xf>
    <xf numFmtId="0" fontId="2" fillId="3" borderId="26" xfId="0" applyNumberFormat="1" applyFont="1" applyFill="1" applyBorder="1" applyAlignment="1">
      <alignment horizontal="center" vertical="center"/>
    </xf>
    <xf numFmtId="0" fontId="2" fillId="3" borderId="22" xfId="0" applyNumberFormat="1" applyFont="1" applyFill="1" applyBorder="1" applyAlignment="1">
      <alignment horizontal="center" vertical="center"/>
    </xf>
    <xf numFmtId="0" fontId="2" fillId="3" borderId="28" xfId="0" applyNumberFormat="1" applyFont="1" applyFill="1" applyBorder="1" applyAlignment="1">
      <alignment horizontal="center"/>
    </xf>
    <xf numFmtId="0" fontId="2" fillId="3" borderId="29" xfId="0" applyNumberFormat="1" applyFont="1" applyFill="1" applyBorder="1" applyAlignment="1">
      <alignment horizontal="center"/>
    </xf>
    <xf numFmtId="0" fontId="2" fillId="3" borderId="0" xfId="0" applyNumberFormat="1" applyFont="1" applyFill="1" applyBorder="1" applyAlignment="1">
      <alignment horizontal="center"/>
    </xf>
    <xf numFmtId="0" fontId="2" fillId="3" borderId="23" xfId="0" applyNumberFormat="1" applyFont="1" applyFill="1" applyBorder="1" applyAlignment="1">
      <alignment horizontal="center"/>
    </xf>
    <xf numFmtId="165" fontId="2" fillId="0" borderId="20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0" fontId="2" fillId="0" borderId="0" xfId="0" applyNumberFormat="1" applyFont="1" applyAlignment="1">
      <alignment horizontal="left"/>
    </xf>
    <xf numFmtId="0" fontId="2" fillId="3" borderId="0" xfId="0" applyNumberFormat="1" applyFont="1" applyFill="1" applyAlignment="1">
      <alignment horizontal="center"/>
    </xf>
    <xf numFmtId="0" fontId="2" fillId="3" borderId="21" xfId="0" applyNumberFormat="1" applyFont="1" applyFill="1" applyBorder="1" applyAlignment="1">
      <alignment horizontal="center"/>
    </xf>
    <xf numFmtId="0" fontId="2" fillId="3" borderId="5" xfId="0" applyNumberFormat="1" applyFont="1" applyFill="1" applyBorder="1" applyAlignment="1">
      <alignment horizontal="center"/>
    </xf>
    <xf numFmtId="0" fontId="2" fillId="3" borderId="26" xfId="0" applyNumberFormat="1" applyFont="1" applyFill="1" applyBorder="1" applyAlignment="1">
      <alignment horizontal="center"/>
    </xf>
    <xf numFmtId="2" fontId="2" fillId="0" borderId="20" xfId="0" applyNumberFormat="1" applyFont="1" applyBorder="1" applyAlignment="1">
      <alignment horizontal="right"/>
    </xf>
    <xf numFmtId="2" fontId="2" fillId="0" borderId="4" xfId="0" applyNumberFormat="1" applyFont="1" applyBorder="1" applyAlignment="1">
      <alignment horizontal="right"/>
    </xf>
    <xf numFmtId="0" fontId="2" fillId="3" borderId="20" xfId="0" applyNumberFormat="1" applyFont="1" applyFill="1" applyBorder="1" applyAlignment="1">
      <alignment horizontal="center" vertical="center"/>
    </xf>
    <xf numFmtId="0" fontId="2" fillId="3" borderId="7" xfId="0" applyNumberFormat="1" applyFont="1" applyFill="1" applyBorder="1" applyAlignment="1">
      <alignment horizontal="center" vertical="center"/>
    </xf>
    <xf numFmtId="0" fontId="2" fillId="3" borderId="21" xfId="0" applyNumberFormat="1" applyFont="1" applyFill="1" applyBorder="1" applyAlignment="1">
      <alignment horizontal="center" vertical="center"/>
    </xf>
    <xf numFmtId="0" fontId="2" fillId="3" borderId="24" xfId="0" applyNumberFormat="1" applyFont="1" applyFill="1" applyBorder="1" applyAlignment="1">
      <alignment horizontal="center" vertical="center"/>
    </xf>
    <xf numFmtId="0" fontId="0" fillId="0" borderId="24" xfId="0" applyBorder="1" applyAlignment="1"/>
    <xf numFmtId="0" fontId="0" fillId="0" borderId="25" xfId="0" applyBorder="1" applyAlignment="1"/>
    <xf numFmtId="0" fontId="0" fillId="0" borderId="20" xfId="0" applyBorder="1" applyAlignment="1"/>
    <xf numFmtId="0" fontId="0" fillId="0" borderId="4" xfId="0" applyBorder="1" applyAlignment="1"/>
    <xf numFmtId="0" fontId="2" fillId="0" borderId="24" xfId="0" applyNumberFormat="1" applyFont="1" applyBorder="1" applyAlignment="1">
      <alignment horizontal="center"/>
    </xf>
    <xf numFmtId="0" fontId="2" fillId="0" borderId="25" xfId="0" applyNumberFormat="1" applyFont="1" applyBorder="1" applyAlignment="1">
      <alignment horizontal="center"/>
    </xf>
    <xf numFmtId="0" fontId="40" fillId="0" borderId="0" xfId="0" applyNumberFormat="1" applyFont="1" applyAlignment="1">
      <alignment horizontal="left"/>
    </xf>
    <xf numFmtId="0" fontId="45" fillId="0" borderId="0" xfId="0" applyNumberFormat="1" applyFont="1" applyAlignment="1">
      <alignment horizontal="left"/>
    </xf>
    <xf numFmtId="0" fontId="40" fillId="0" borderId="0" xfId="0" applyNumberFormat="1" applyFont="1" applyAlignment="1">
      <alignment horizontal="right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2" xfId="3" applyFont="1" applyFill="1" applyBorder="1" applyAlignment="1">
      <alignment horizontal="center"/>
    </xf>
    <xf numFmtId="0" fontId="6" fillId="0" borderId="19" xfId="3" applyFont="1" applyFill="1" applyBorder="1" applyAlignment="1">
      <alignment horizontal="center"/>
    </xf>
    <xf numFmtId="0" fontId="6" fillId="0" borderId="2" xfId="0" quotePrefix="1" applyFont="1" applyBorder="1" applyAlignment="1">
      <alignment horizontal="center"/>
    </xf>
    <xf numFmtId="0" fontId="6" fillId="0" borderId="3" xfId="0" quotePrefix="1" applyFont="1" applyBorder="1" applyAlignment="1">
      <alignment horizontal="center"/>
    </xf>
    <xf numFmtId="0" fontId="17" fillId="0" borderId="1" xfId="3" applyFont="1" applyBorder="1" applyAlignment="1">
      <alignment horizontal="center"/>
    </xf>
    <xf numFmtId="0" fontId="17" fillId="0" borderId="2" xfId="3" applyFont="1" applyBorder="1" applyAlignment="1">
      <alignment horizontal="center"/>
    </xf>
    <xf numFmtId="0" fontId="17" fillId="0" borderId="3" xfId="3" applyFont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13" fillId="0" borderId="17" xfId="0" applyFont="1" applyBorder="1" applyAlignment="1">
      <alignment horizontal="center"/>
    </xf>
    <xf numFmtId="0" fontId="13" fillId="0" borderId="15" xfId="0" applyFont="1" applyBorder="1" applyAlignment="1">
      <alignment horizontal="left"/>
    </xf>
    <xf numFmtId="0" fontId="13" fillId="0" borderId="18" xfId="0" applyFont="1" applyBorder="1" applyAlignment="1">
      <alignment horizontal="left"/>
    </xf>
    <xf numFmtId="0" fontId="13" fillId="0" borderId="2" xfId="0" applyFont="1" applyFill="1" applyBorder="1" applyAlignment="1">
      <alignment horizontal="center"/>
    </xf>
    <xf numFmtId="0" fontId="13" fillId="0" borderId="19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5" fillId="0" borderId="0" xfId="0" applyNumberFormat="1" applyFont="1" applyAlignment="1">
      <alignment horizontal="left"/>
    </xf>
    <xf numFmtId="0" fontId="9" fillId="0" borderId="0" xfId="0" applyNumberFormat="1" applyFont="1" applyAlignment="1">
      <alignment horizontal="right"/>
    </xf>
    <xf numFmtId="0" fontId="9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2" fillId="0" borderId="14" xfId="0" applyNumberFormat="1" applyFont="1" applyBorder="1" applyAlignment="1">
      <alignment horizontal="left"/>
    </xf>
    <xf numFmtId="0" fontId="2" fillId="0" borderId="10" xfId="0" applyNumberFormat="1" applyFont="1" applyBorder="1" applyAlignment="1">
      <alignment horizontal="left"/>
    </xf>
    <xf numFmtId="0" fontId="2" fillId="3" borderId="12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horizontal="center" vertical="center"/>
    </xf>
    <xf numFmtId="0" fontId="2" fillId="3" borderId="14" xfId="0" applyNumberFormat="1" applyFont="1" applyFill="1" applyBorder="1" applyAlignment="1">
      <alignment horizontal="center" vertical="center"/>
    </xf>
    <xf numFmtId="0" fontId="2" fillId="3" borderId="10" xfId="0" applyNumberFormat="1" applyFont="1" applyFill="1" applyBorder="1" applyAlignment="1">
      <alignment horizontal="center" vertical="center"/>
    </xf>
    <xf numFmtId="0" fontId="2" fillId="3" borderId="16" xfId="0" applyNumberFormat="1" applyFont="1" applyFill="1" applyBorder="1" applyAlignment="1">
      <alignment horizontal="center" vertical="center"/>
    </xf>
    <xf numFmtId="0" fontId="2" fillId="3" borderId="9" xfId="0" applyNumberFormat="1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/>
    </xf>
    <xf numFmtId="0" fontId="3" fillId="3" borderId="12" xfId="0" applyNumberFormat="1" applyFont="1" applyFill="1" applyBorder="1" applyAlignment="1">
      <alignment horizontal="left"/>
    </xf>
    <xf numFmtId="0" fontId="3" fillId="3" borderId="8" xfId="0" applyNumberFormat="1" applyFont="1" applyFill="1" applyBorder="1" applyAlignment="1">
      <alignment horizontal="left"/>
    </xf>
    <xf numFmtId="0" fontId="2" fillId="3" borderId="14" xfId="0" applyNumberFormat="1" applyFont="1" applyFill="1" applyBorder="1" applyAlignment="1">
      <alignment horizontal="left"/>
    </xf>
    <xf numFmtId="0" fontId="2" fillId="3" borderId="10" xfId="0" applyNumberFormat="1" applyFont="1" applyFill="1" applyBorder="1" applyAlignment="1">
      <alignment horizontal="left"/>
    </xf>
    <xf numFmtId="0" fontId="49" fillId="0" borderId="0" xfId="0" applyFont="1" applyFill="1" applyAlignment="1">
      <alignment vertical="top"/>
    </xf>
    <xf numFmtId="0" fontId="50" fillId="0" borderId="0" xfId="0" applyFont="1" applyFill="1" applyAlignment="1">
      <alignment horizontal="right" vertical="top"/>
    </xf>
    <xf numFmtId="0" fontId="51" fillId="0" borderId="0" xfId="0" applyFont="1" applyFill="1" applyAlignment="1">
      <alignment vertical="top"/>
    </xf>
    <xf numFmtId="0" fontId="53" fillId="0" borderId="41" xfId="0" applyFont="1" applyFill="1" applyBorder="1" applyAlignment="1">
      <alignment vertical="top"/>
    </xf>
    <xf numFmtId="0" fontId="53" fillId="0" borderId="36" xfId="0" applyFont="1" applyFill="1" applyBorder="1" applyAlignment="1">
      <alignment vertical="top"/>
    </xf>
    <xf numFmtId="0" fontId="53" fillId="0" borderId="35" xfId="0" applyFont="1" applyFill="1" applyBorder="1" applyAlignment="1">
      <alignment vertical="top"/>
    </xf>
    <xf numFmtId="0" fontId="53" fillId="0" borderId="41" xfId="0" applyFont="1" applyFill="1" applyBorder="1" applyAlignment="1">
      <alignment horizontal="right" vertical="top"/>
    </xf>
    <xf numFmtId="0" fontId="53" fillId="0" borderId="36" xfId="0" applyFont="1" applyFill="1" applyBorder="1" applyAlignment="1">
      <alignment horizontal="right" vertical="top"/>
    </xf>
    <xf numFmtId="0" fontId="53" fillId="0" borderId="35" xfId="0" applyFont="1" applyFill="1" applyBorder="1" applyAlignment="1">
      <alignment horizontal="right" vertical="top"/>
    </xf>
    <xf numFmtId="0" fontId="53" fillId="0" borderId="0" xfId="0" applyFont="1" applyFill="1" applyAlignment="1">
      <alignment horizontal="right" vertical="top"/>
    </xf>
    <xf numFmtId="0" fontId="50" fillId="0" borderId="30" xfId="0" applyFont="1" applyFill="1" applyBorder="1" applyAlignment="1">
      <alignment horizontal="right" vertical="top" wrapText="1"/>
    </xf>
    <xf numFmtId="0" fontId="52" fillId="4" borderId="31" xfId="0" applyFont="1" applyFill="1" applyBorder="1" applyAlignment="1">
      <alignment horizontal="center" vertical="center"/>
    </xf>
    <xf numFmtId="0" fontId="52" fillId="4" borderId="32" xfId="0" applyFont="1" applyFill="1" applyBorder="1" applyAlignment="1">
      <alignment horizontal="center" vertical="center"/>
    </xf>
    <xf numFmtId="0" fontId="52" fillId="4" borderId="35" xfId="0" applyFont="1" applyFill="1" applyBorder="1" applyAlignment="1">
      <alignment horizontal="center" vertical="center"/>
    </xf>
    <xf numFmtId="0" fontId="52" fillId="4" borderId="36" xfId="0" applyFont="1" applyFill="1" applyBorder="1" applyAlignment="1">
      <alignment horizontal="center" vertical="center"/>
    </xf>
    <xf numFmtId="0" fontId="52" fillId="4" borderId="38" xfId="0" applyFont="1" applyFill="1" applyBorder="1" applyAlignment="1">
      <alignment horizontal="center" vertical="center"/>
    </xf>
    <xf numFmtId="0" fontId="52" fillId="4" borderId="39" xfId="0" applyFont="1" applyFill="1" applyBorder="1" applyAlignment="1">
      <alignment horizontal="center" vertical="center"/>
    </xf>
    <xf numFmtId="0" fontId="52" fillId="4" borderId="31" xfId="0" applyFont="1" applyFill="1" applyBorder="1" applyAlignment="1">
      <alignment horizontal="center" vertical="center" wrapText="1"/>
    </xf>
    <xf numFmtId="0" fontId="52" fillId="4" borderId="33" xfId="0" applyFont="1" applyFill="1" applyBorder="1" applyAlignment="1">
      <alignment horizontal="center" vertical="center" wrapText="1"/>
    </xf>
    <xf numFmtId="0" fontId="52" fillId="4" borderId="34" xfId="0" applyFont="1" applyFill="1" applyBorder="1" applyAlignment="1">
      <alignment horizontal="center" vertical="center" wrapText="1"/>
    </xf>
    <xf numFmtId="0" fontId="53" fillId="4" borderId="31" xfId="0" applyFont="1" applyFill="1" applyBorder="1" applyAlignment="1">
      <alignment horizontal="center" vertical="center"/>
    </xf>
    <xf numFmtId="0" fontId="53" fillId="4" borderId="32" xfId="0" applyFont="1" applyFill="1" applyBorder="1" applyAlignment="1">
      <alignment horizontal="center" vertical="center"/>
    </xf>
    <xf numFmtId="0" fontId="53" fillId="4" borderId="38" xfId="0" applyFont="1" applyFill="1" applyBorder="1" applyAlignment="1">
      <alignment horizontal="center" vertical="center"/>
    </xf>
    <xf numFmtId="0" fontId="53" fillId="4" borderId="39" xfId="0" applyFont="1" applyFill="1" applyBorder="1" applyAlignment="1">
      <alignment horizontal="center" vertical="center"/>
    </xf>
    <xf numFmtId="0" fontId="53" fillId="4" borderId="37" xfId="0" applyFont="1" applyFill="1" applyBorder="1" applyAlignment="1">
      <alignment horizontal="center" vertical="center"/>
    </xf>
    <xf numFmtId="0" fontId="53" fillId="4" borderId="30" xfId="0" applyFont="1" applyFill="1" applyBorder="1" applyAlignment="1">
      <alignment horizontal="center" vertical="center"/>
    </xf>
    <xf numFmtId="0" fontId="53" fillId="0" borderId="40" xfId="0" applyFont="1" applyFill="1" applyBorder="1" applyAlignment="1">
      <alignment vertical="top"/>
    </xf>
    <xf numFmtId="0" fontId="53" fillId="0" borderId="32" xfId="0" applyFont="1" applyFill="1" applyBorder="1" applyAlignment="1">
      <alignment vertical="top"/>
    </xf>
    <xf numFmtId="0" fontId="53" fillId="0" borderId="40" xfId="0" applyFont="1" applyFill="1" applyBorder="1" applyAlignment="1">
      <alignment horizontal="right" vertical="top"/>
    </xf>
    <xf numFmtId="0" fontId="53" fillId="0" borderId="32" xfId="0" applyFont="1" applyFill="1" applyBorder="1" applyAlignment="1">
      <alignment horizontal="right" vertical="top"/>
    </xf>
    <xf numFmtId="0" fontId="53" fillId="0" borderId="37" xfId="0" applyFont="1" applyFill="1" applyBorder="1" applyAlignment="1">
      <alignment horizontal="right" vertical="top"/>
    </xf>
    <xf numFmtId="0" fontId="53" fillId="0" borderId="42" xfId="0" applyFont="1" applyFill="1" applyBorder="1" applyAlignment="1">
      <alignment vertical="top"/>
    </xf>
    <xf numFmtId="0" fontId="53" fillId="0" borderId="38" xfId="0" applyFont="1" applyFill="1" applyBorder="1" applyAlignment="1">
      <alignment vertical="top"/>
    </xf>
    <xf numFmtId="0" fontId="53" fillId="0" borderId="39" xfId="0" applyFont="1" applyFill="1" applyBorder="1" applyAlignment="1">
      <alignment vertical="top"/>
    </xf>
    <xf numFmtId="0" fontId="53" fillId="0" borderId="42" xfId="0" applyFont="1" applyFill="1" applyBorder="1" applyAlignment="1">
      <alignment horizontal="right" vertical="top"/>
    </xf>
    <xf numFmtId="0" fontId="53" fillId="0" borderId="38" xfId="0" applyFont="1" applyFill="1" applyBorder="1" applyAlignment="1">
      <alignment horizontal="right" vertical="top"/>
    </xf>
    <xf numFmtId="0" fontId="53" fillId="0" borderId="39" xfId="0" applyFont="1" applyFill="1" applyBorder="1" applyAlignment="1">
      <alignment horizontal="right" vertical="top"/>
    </xf>
    <xf numFmtId="0" fontId="53" fillId="0" borderId="30" xfId="0" applyFont="1" applyFill="1" applyBorder="1" applyAlignment="1">
      <alignment horizontal="right" vertical="top"/>
    </xf>
    <xf numFmtId="0" fontId="54" fillId="0" borderId="37" xfId="0" applyFont="1" applyFill="1" applyBorder="1" applyAlignment="1">
      <alignment vertical="top"/>
    </xf>
    <xf numFmtId="0" fontId="53" fillId="0" borderId="0" xfId="0" applyFont="1" applyFill="1"/>
    <xf numFmtId="0" fontId="52" fillId="4" borderId="31" xfId="0" applyFont="1" applyFill="1" applyBorder="1" applyAlignment="1">
      <alignment vertical="center"/>
    </xf>
    <xf numFmtId="0" fontId="52" fillId="4" borderId="32" xfId="0" applyFont="1" applyFill="1" applyBorder="1" applyAlignment="1">
      <alignment vertical="center"/>
    </xf>
    <xf numFmtId="0" fontId="52" fillId="4" borderId="38" xfId="0" applyFont="1" applyFill="1" applyBorder="1" applyAlignment="1">
      <alignment vertical="center"/>
    </xf>
    <xf numFmtId="0" fontId="52" fillId="4" borderId="39" xfId="0" applyFont="1" applyFill="1" applyBorder="1" applyAlignment="1">
      <alignment vertical="center"/>
    </xf>
    <xf numFmtId="0" fontId="52" fillId="4" borderId="31" xfId="0" applyFont="1" applyFill="1" applyBorder="1" applyAlignment="1">
      <alignment horizontal="right" vertical="top"/>
    </xf>
    <xf numFmtId="0" fontId="52" fillId="4" borderId="32" xfId="0" applyFont="1" applyFill="1" applyBorder="1" applyAlignment="1">
      <alignment horizontal="right" vertical="top"/>
    </xf>
    <xf numFmtId="0" fontId="52" fillId="4" borderId="38" xfId="0" applyFont="1" applyFill="1" applyBorder="1" applyAlignment="1">
      <alignment horizontal="right" vertical="top"/>
    </xf>
    <xf numFmtId="0" fontId="52" fillId="4" borderId="39" xfId="0" applyFont="1" applyFill="1" applyBorder="1" applyAlignment="1">
      <alignment horizontal="right" vertical="top"/>
    </xf>
    <xf numFmtId="0" fontId="52" fillId="4" borderId="37" xfId="0" applyFont="1" applyFill="1" applyBorder="1" applyAlignment="1">
      <alignment horizontal="right" vertical="top"/>
    </xf>
    <xf numFmtId="0" fontId="52" fillId="4" borderId="30" xfId="0" applyFont="1" applyFill="1" applyBorder="1" applyAlignment="1">
      <alignment horizontal="right" vertical="top"/>
    </xf>
    <xf numFmtId="0" fontId="52" fillId="0" borderId="31" xfId="0" applyFont="1" applyFill="1" applyBorder="1" applyAlignment="1">
      <alignment vertical="center" wrapText="1"/>
    </xf>
    <xf numFmtId="0" fontId="52" fillId="0" borderId="32" xfId="0" applyFont="1" applyFill="1" applyBorder="1" applyAlignment="1">
      <alignment vertical="center" wrapText="1"/>
    </xf>
    <xf numFmtId="0" fontId="52" fillId="0" borderId="38" xfId="0" applyFont="1" applyFill="1" applyBorder="1" applyAlignment="1">
      <alignment vertical="center" wrapText="1"/>
    </xf>
    <xf numFmtId="0" fontId="52" fillId="0" borderId="39" xfId="0" applyFont="1" applyFill="1" applyBorder="1" applyAlignment="1">
      <alignment vertical="center" wrapText="1"/>
    </xf>
    <xf numFmtId="0" fontId="52" fillId="0" borderId="31" xfId="0" applyFont="1" applyFill="1" applyBorder="1" applyAlignment="1">
      <alignment horizontal="right" vertical="top"/>
    </xf>
    <xf numFmtId="0" fontId="52" fillId="0" borderId="32" xfId="0" applyFont="1" applyFill="1" applyBorder="1" applyAlignment="1">
      <alignment horizontal="right" vertical="top"/>
    </xf>
    <xf numFmtId="0" fontId="52" fillId="0" borderId="38" xfId="0" applyFont="1" applyFill="1" applyBorder="1" applyAlignment="1">
      <alignment horizontal="right" vertical="top"/>
    </xf>
    <xf numFmtId="0" fontId="52" fillId="0" borderId="39" xfId="0" applyFont="1" applyFill="1" applyBorder="1" applyAlignment="1">
      <alignment horizontal="right" vertical="top"/>
    </xf>
    <xf numFmtId="0" fontId="52" fillId="0" borderId="37" xfId="0" applyFont="1" applyFill="1" applyBorder="1" applyAlignment="1">
      <alignment horizontal="right" vertical="top"/>
    </xf>
    <xf numFmtId="0" fontId="52" fillId="0" borderId="30" xfId="0" applyFont="1" applyFill="1" applyBorder="1" applyAlignment="1">
      <alignment horizontal="right" vertical="top"/>
    </xf>
    <xf numFmtId="0" fontId="52" fillId="4" borderId="31" xfId="0" applyFont="1" applyFill="1" applyBorder="1" applyAlignment="1">
      <alignment vertical="center" wrapText="1"/>
    </xf>
    <xf numFmtId="0" fontId="52" fillId="4" borderId="32" xfId="0" applyFont="1" applyFill="1" applyBorder="1" applyAlignment="1">
      <alignment vertical="center" wrapText="1"/>
    </xf>
    <xf numFmtId="0" fontId="52" fillId="4" borderId="38" xfId="0" applyFont="1" applyFill="1" applyBorder="1" applyAlignment="1">
      <alignment vertical="center" wrapText="1"/>
    </xf>
    <xf numFmtId="0" fontId="52" fillId="4" borderId="39" xfId="0" applyFont="1" applyFill="1" applyBorder="1" applyAlignment="1">
      <alignment vertical="center" wrapText="1"/>
    </xf>
    <xf numFmtId="0" fontId="55" fillId="4" borderId="31" xfId="0" applyFont="1" applyFill="1" applyBorder="1" applyAlignment="1">
      <alignment horizontal="center" vertical="center"/>
    </xf>
    <xf numFmtId="0" fontId="55" fillId="4" borderId="33" xfId="0" applyFont="1" applyFill="1" applyBorder="1" applyAlignment="1">
      <alignment horizontal="center" vertical="center"/>
    </xf>
    <xf numFmtId="0" fontId="55" fillId="4" borderId="34" xfId="0" applyFont="1" applyFill="1" applyBorder="1" applyAlignment="1">
      <alignment horizontal="center" vertical="center"/>
    </xf>
    <xf numFmtId="0" fontId="52" fillId="0" borderId="40" xfId="0" applyFont="1" applyFill="1" applyBorder="1" applyAlignment="1">
      <alignment horizontal="right" vertical="center"/>
    </xf>
    <xf numFmtId="0" fontId="52" fillId="0" borderId="37" xfId="0" applyFont="1" applyFill="1" applyBorder="1" applyAlignment="1">
      <alignment horizontal="right" vertical="center"/>
    </xf>
    <xf numFmtId="0" fontId="52" fillId="0" borderId="32" xfId="0" applyFont="1" applyFill="1" applyBorder="1" applyAlignment="1">
      <alignment horizontal="right" vertical="center"/>
    </xf>
    <xf numFmtId="0" fontId="49" fillId="0" borderId="30" xfId="0" applyFont="1" applyFill="1" applyBorder="1" applyAlignment="1">
      <alignment vertical="top"/>
    </xf>
    <xf numFmtId="0" fontId="53" fillId="0" borderId="41" xfId="0" applyFont="1" applyFill="1" applyBorder="1" applyAlignment="1">
      <alignment horizontal="right" vertical="center"/>
    </xf>
    <xf numFmtId="0" fontId="53" fillId="0" borderId="0" xfId="0" applyFont="1" applyFill="1" applyAlignment="1">
      <alignment horizontal="right" vertical="center"/>
    </xf>
    <xf numFmtId="0" fontId="53" fillId="0" borderId="36" xfId="0" applyFont="1" applyFill="1" applyBorder="1" applyAlignment="1">
      <alignment horizontal="right" vertical="center"/>
    </xf>
    <xf numFmtId="0" fontId="52" fillId="0" borderId="41" xfId="0" applyFont="1" applyFill="1" applyBorder="1" applyAlignment="1">
      <alignment horizontal="right" vertical="center"/>
    </xf>
    <xf numFmtId="0" fontId="52" fillId="0" borderId="0" xfId="0" applyFont="1" applyFill="1" applyAlignment="1">
      <alignment horizontal="right" vertical="center"/>
    </xf>
    <xf numFmtId="0" fontId="52" fillId="0" borderId="36" xfId="0" applyFont="1" applyFill="1" applyBorder="1" applyAlignment="1">
      <alignment horizontal="right" vertical="center"/>
    </xf>
    <xf numFmtId="4" fontId="53" fillId="0" borderId="41" xfId="0" applyNumberFormat="1" applyFont="1" applyFill="1" applyBorder="1" applyAlignment="1">
      <alignment horizontal="right" vertical="center"/>
    </xf>
    <xf numFmtId="4" fontId="53" fillId="0" borderId="0" xfId="0" applyNumberFormat="1" applyFont="1" applyFill="1" applyAlignment="1">
      <alignment horizontal="right" vertical="center"/>
    </xf>
    <xf numFmtId="4" fontId="53" fillId="0" borderId="36" xfId="0" applyNumberFormat="1" applyFont="1" applyFill="1" applyBorder="1" applyAlignment="1">
      <alignment horizontal="right" vertical="center"/>
    </xf>
    <xf numFmtId="0" fontId="52" fillId="5" borderId="31" xfId="0" applyFont="1" applyFill="1" applyBorder="1" applyAlignment="1">
      <alignment horizontal="right" vertical="center"/>
    </xf>
    <xf numFmtId="0" fontId="52" fillId="5" borderId="33" xfId="0" applyFont="1" applyFill="1" applyBorder="1" applyAlignment="1">
      <alignment horizontal="right" vertical="center"/>
    </xf>
    <xf numFmtId="0" fontId="52" fillId="5" borderId="34" xfId="0" applyFont="1" applyFill="1" applyBorder="1" applyAlignment="1">
      <alignment horizontal="right" vertical="center"/>
    </xf>
    <xf numFmtId="0" fontId="53" fillId="0" borderId="42" xfId="0" applyFont="1" applyFill="1" applyBorder="1" applyAlignment="1">
      <alignment horizontal="right" vertical="center"/>
    </xf>
    <xf numFmtId="0" fontId="53" fillId="0" borderId="30" xfId="0" applyFont="1" applyFill="1" applyBorder="1" applyAlignment="1">
      <alignment horizontal="right" vertical="center"/>
    </xf>
    <xf numFmtId="0" fontId="53" fillId="0" borderId="39" xfId="0" applyFont="1" applyFill="1" applyBorder="1" applyAlignment="1">
      <alignment horizontal="right" vertical="center"/>
    </xf>
    <xf numFmtId="0" fontId="53" fillId="0" borderId="0" xfId="0" applyFont="1" applyFill="1" applyAlignment="1">
      <alignment vertical="center"/>
    </xf>
    <xf numFmtId="0" fontId="54" fillId="0" borderId="35" xfId="0" applyFont="1" applyFill="1" applyBorder="1" applyAlignment="1">
      <alignment vertical="top"/>
    </xf>
    <xf numFmtId="4" fontId="57" fillId="0" borderId="31" xfId="0" applyNumberFormat="1" applyFont="1" applyFill="1" applyBorder="1" applyAlignment="1">
      <alignment horizontal="right" vertical="center"/>
    </xf>
    <xf numFmtId="4" fontId="57" fillId="0" borderId="33" xfId="0" applyNumberFormat="1" applyFont="1" applyFill="1" applyBorder="1" applyAlignment="1">
      <alignment horizontal="right" vertical="center"/>
    </xf>
    <xf numFmtId="4" fontId="57" fillId="0" borderId="34" xfId="0" applyNumberFormat="1" applyFont="1" applyFill="1" applyBorder="1" applyAlignment="1">
      <alignment horizontal="right" vertical="center"/>
    </xf>
    <xf numFmtId="4" fontId="52" fillId="5" borderId="31" xfId="0" applyNumberFormat="1" applyFont="1" applyFill="1" applyBorder="1" applyAlignment="1">
      <alignment horizontal="right" vertical="center"/>
    </xf>
    <xf numFmtId="4" fontId="52" fillId="5" borderId="34" xfId="0" applyNumberFormat="1" applyFont="1" applyFill="1" applyBorder="1" applyAlignment="1">
      <alignment horizontal="right" vertical="center"/>
    </xf>
    <xf numFmtId="4" fontId="52" fillId="5" borderId="33" xfId="0" applyNumberFormat="1" applyFont="1" applyFill="1" applyBorder="1" applyAlignment="1">
      <alignment horizontal="right" vertical="center"/>
    </xf>
    <xf numFmtId="4" fontId="53" fillId="0" borderId="42" xfId="0" applyNumberFormat="1" applyFont="1" applyFill="1" applyBorder="1" applyAlignment="1">
      <alignment horizontal="right" vertical="center"/>
    </xf>
    <xf numFmtId="4" fontId="53" fillId="0" borderId="39" xfId="0" applyNumberFormat="1" applyFont="1" applyFill="1" applyBorder="1" applyAlignment="1">
      <alignment horizontal="right" vertical="center"/>
    </xf>
    <xf numFmtId="4" fontId="53" fillId="0" borderId="30" xfId="0" applyNumberFormat="1" applyFont="1" applyFill="1" applyBorder="1" applyAlignment="1">
      <alignment horizontal="right" vertical="center"/>
    </xf>
    <xf numFmtId="0" fontId="54" fillId="0" borderId="0" xfId="0" applyFont="1" applyFill="1" applyAlignment="1">
      <alignment vertical="top"/>
    </xf>
    <xf numFmtId="0" fontId="54" fillId="0" borderId="33" xfId="0" applyFont="1" applyFill="1" applyBorder="1" applyAlignment="1">
      <alignment vertical="top"/>
    </xf>
    <xf numFmtId="4" fontId="53" fillId="0" borderId="40" xfId="0" applyNumberFormat="1" applyFont="1" applyFill="1" applyBorder="1" applyAlignment="1">
      <alignment horizontal="right" vertical="center"/>
    </xf>
    <xf numFmtId="4" fontId="53" fillId="0" borderId="37" xfId="0" applyNumberFormat="1" applyFont="1" applyFill="1" applyBorder="1" applyAlignment="1">
      <alignment horizontal="right" vertical="center"/>
    </xf>
    <xf numFmtId="4" fontId="53" fillId="0" borderId="32" xfId="0" applyNumberFormat="1" applyFont="1" applyFill="1" applyBorder="1" applyAlignment="1">
      <alignment horizontal="right" vertical="center"/>
    </xf>
    <xf numFmtId="4" fontId="53" fillId="0" borderId="31" xfId="0" applyNumberFormat="1" applyFont="1" applyFill="1" applyBorder="1" applyAlignment="1">
      <alignment horizontal="right" vertical="center"/>
    </xf>
    <xf numFmtId="4" fontId="53" fillId="0" borderId="33" xfId="0" applyNumberFormat="1" applyFont="1" applyFill="1" applyBorder="1" applyAlignment="1">
      <alignment horizontal="right" vertical="center"/>
    </xf>
    <xf numFmtId="4" fontId="53" fillId="0" borderId="34" xfId="0" applyNumberFormat="1" applyFont="1" applyFill="1" applyBorder="1" applyAlignment="1">
      <alignment horizontal="right" vertical="center"/>
    </xf>
    <xf numFmtId="4" fontId="52" fillId="0" borderId="40" xfId="0" applyNumberFormat="1" applyFont="1" applyFill="1" applyBorder="1" applyAlignment="1">
      <alignment horizontal="right" vertical="center"/>
    </xf>
    <xf numFmtId="4" fontId="52" fillId="0" borderId="32" xfId="0" applyNumberFormat="1" applyFont="1" applyFill="1" applyBorder="1" applyAlignment="1">
      <alignment horizontal="right" vertical="center"/>
    </xf>
    <xf numFmtId="4" fontId="52" fillId="0" borderId="37" xfId="0" applyNumberFormat="1" applyFont="1" applyFill="1" applyBorder="1" applyAlignment="1">
      <alignment horizontal="right" vertical="center"/>
    </xf>
    <xf numFmtId="4" fontId="52" fillId="0" borderId="41" xfId="0" applyNumberFormat="1" applyFont="1" applyFill="1" applyBorder="1" applyAlignment="1">
      <alignment horizontal="right" vertical="center"/>
    </xf>
    <xf numFmtId="4" fontId="52" fillId="0" borderId="36" xfId="0" applyNumberFormat="1" applyFont="1" applyFill="1" applyBorder="1" applyAlignment="1">
      <alignment horizontal="right" vertical="center"/>
    </xf>
    <xf numFmtId="4" fontId="52" fillId="0" borderId="0" xfId="0" applyNumberFormat="1" applyFont="1" applyFill="1" applyAlignment="1">
      <alignment horizontal="right" vertical="center"/>
    </xf>
    <xf numFmtId="4" fontId="58" fillId="0" borderId="41" xfId="0" applyNumberFormat="1" applyFont="1" applyFill="1" applyBorder="1" applyAlignment="1">
      <alignment horizontal="right" vertical="center"/>
    </xf>
    <xf numFmtId="4" fontId="58" fillId="0" borderId="36" xfId="0" applyNumberFormat="1" applyFont="1" applyFill="1" applyBorder="1" applyAlignment="1">
      <alignment horizontal="right" vertical="center"/>
    </xf>
    <xf numFmtId="4" fontId="58" fillId="0" borderId="0" xfId="0" applyNumberFormat="1" applyFont="1" applyFill="1" applyAlignment="1">
      <alignment horizontal="right" vertical="center"/>
    </xf>
    <xf numFmtId="4" fontId="59" fillId="0" borderId="41" xfId="0" applyNumberFormat="1" applyFont="1" applyFill="1" applyBorder="1" applyAlignment="1">
      <alignment horizontal="right" vertical="center"/>
    </xf>
    <xf numFmtId="4" fontId="59" fillId="0" borderId="36" xfId="0" applyNumberFormat="1" applyFont="1" applyFill="1" applyBorder="1" applyAlignment="1">
      <alignment horizontal="right" vertical="center"/>
    </xf>
    <xf numFmtId="4" fontId="59" fillId="0" borderId="0" xfId="0" applyNumberFormat="1" applyFont="1" applyFill="1" applyAlignment="1">
      <alignment horizontal="right" vertical="center"/>
    </xf>
    <xf numFmtId="4" fontId="58" fillId="0" borderId="42" xfId="0" applyNumberFormat="1" applyFont="1" applyFill="1" applyBorder="1" applyAlignment="1">
      <alignment horizontal="right" vertical="center"/>
    </xf>
    <xf numFmtId="4" fontId="58" fillId="0" borderId="39" xfId="0" applyNumberFormat="1" applyFont="1" applyFill="1" applyBorder="1" applyAlignment="1">
      <alignment horizontal="right" vertical="center"/>
    </xf>
    <xf numFmtId="4" fontId="58" fillId="0" borderId="30" xfId="0" applyNumberFormat="1" applyFont="1" applyFill="1" applyBorder="1" applyAlignment="1">
      <alignment horizontal="right" vertical="center"/>
    </xf>
    <xf numFmtId="0" fontId="53" fillId="0" borderId="0" xfId="0" applyFont="1" applyFill="1" applyAlignment="1">
      <alignment vertical="top" wrapText="1"/>
    </xf>
    <xf numFmtId="0" fontId="60" fillId="0" borderId="0" xfId="0" applyFont="1" applyFill="1" applyAlignment="1">
      <alignment vertical="top"/>
    </xf>
    <xf numFmtId="0" fontId="61" fillId="0" borderId="0" xfId="0" applyFont="1" applyFill="1" applyAlignment="1">
      <alignment horizontal="right" vertical="top"/>
    </xf>
    <xf numFmtId="0" fontId="62" fillId="0" borderId="0" xfId="0" applyFont="1" applyFill="1" applyAlignment="1">
      <alignment vertical="top"/>
    </xf>
    <xf numFmtId="0" fontId="58" fillId="0" borderId="40" xfId="0" applyFont="1" applyFill="1" applyBorder="1" applyAlignment="1">
      <alignment vertical="center"/>
    </xf>
    <xf numFmtId="0" fontId="58" fillId="0" borderId="32" xfId="0" applyFont="1" applyFill="1" applyBorder="1" applyAlignment="1">
      <alignment vertical="center"/>
    </xf>
    <xf numFmtId="0" fontId="58" fillId="0" borderId="40" xfId="0" applyFont="1" applyFill="1" applyBorder="1" applyAlignment="1">
      <alignment horizontal="right" vertical="center"/>
    </xf>
    <xf numFmtId="0" fontId="58" fillId="0" borderId="37" xfId="0" applyFont="1" applyFill="1" applyBorder="1" applyAlignment="1">
      <alignment horizontal="right" vertical="center"/>
    </xf>
    <xf numFmtId="0" fontId="58" fillId="0" borderId="32" xfId="0" applyFont="1" applyFill="1" applyBorder="1" applyAlignment="1">
      <alignment horizontal="right" vertical="center"/>
    </xf>
    <xf numFmtId="0" fontId="58" fillId="0" borderId="41" xfId="0" applyFont="1" applyFill="1" applyBorder="1" applyAlignment="1">
      <alignment vertical="center"/>
    </xf>
    <xf numFmtId="0" fontId="58" fillId="0" borderId="36" xfId="0" applyFont="1" applyFill="1" applyBorder="1" applyAlignment="1">
      <alignment vertical="center"/>
    </xf>
    <xf numFmtId="0" fontId="58" fillId="0" borderId="41" xfId="0" applyFont="1" applyFill="1" applyBorder="1" applyAlignment="1">
      <alignment horizontal="right" vertical="center"/>
    </xf>
    <xf numFmtId="0" fontId="58" fillId="0" borderId="0" xfId="0" applyFont="1" applyFill="1" applyAlignment="1">
      <alignment horizontal="right" vertical="center"/>
    </xf>
    <xf numFmtId="0" fontId="58" fillId="0" borderId="36" xfId="0" applyFont="1" applyFill="1" applyBorder="1" applyAlignment="1">
      <alignment horizontal="right" vertical="center"/>
    </xf>
    <xf numFmtId="0" fontId="61" fillId="0" borderId="30" xfId="0" applyFont="1" applyFill="1" applyBorder="1" applyAlignment="1">
      <alignment horizontal="right" vertical="top" wrapText="1"/>
    </xf>
    <xf numFmtId="0" fontId="59" fillId="4" borderId="31" xfId="0" applyFont="1" applyFill="1" applyBorder="1" applyAlignment="1">
      <alignment horizontal="center" vertical="center"/>
    </xf>
    <xf numFmtId="0" fontId="59" fillId="4" borderId="33" xfId="0" applyFont="1" applyFill="1" applyBorder="1" applyAlignment="1">
      <alignment horizontal="center" vertical="center"/>
    </xf>
    <xf numFmtId="0" fontId="59" fillId="4" borderId="34" xfId="0" applyFont="1" applyFill="1" applyBorder="1" applyAlignment="1">
      <alignment horizontal="center" vertical="center"/>
    </xf>
    <xf numFmtId="0" fontId="59" fillId="4" borderId="32" xfId="0" applyFont="1" applyFill="1" applyBorder="1" applyAlignment="1">
      <alignment horizontal="center" vertical="center"/>
    </xf>
    <xf numFmtId="0" fontId="59" fillId="4" borderId="35" xfId="0" applyFont="1" applyFill="1" applyBorder="1" applyAlignment="1">
      <alignment horizontal="center" vertical="center"/>
    </xf>
    <xf numFmtId="0" fontId="59" fillId="4" borderId="36" xfId="0" applyFont="1" applyFill="1" applyBorder="1" applyAlignment="1">
      <alignment horizontal="center" vertical="center"/>
    </xf>
    <xf numFmtId="0" fontId="59" fillId="4" borderId="38" xfId="0" applyFont="1" applyFill="1" applyBorder="1" applyAlignment="1">
      <alignment horizontal="center" vertical="center"/>
    </xf>
    <xf numFmtId="0" fontId="59" fillId="4" borderId="39" xfId="0" applyFont="1" applyFill="1" applyBorder="1" applyAlignment="1">
      <alignment horizontal="center" vertical="center"/>
    </xf>
    <xf numFmtId="0" fontId="58" fillId="4" borderId="31" xfId="0" applyFont="1" applyFill="1" applyBorder="1" applyAlignment="1">
      <alignment horizontal="center" vertical="center" wrapText="1"/>
    </xf>
    <xf numFmtId="0" fontId="58" fillId="4" borderId="41" xfId="0" applyFont="1" applyFill="1" applyBorder="1" applyAlignment="1">
      <alignment horizontal="center" vertical="center" wrapText="1"/>
    </xf>
    <xf numFmtId="0" fontId="58" fillId="4" borderId="42" xfId="0" applyFont="1" applyFill="1" applyBorder="1" applyAlignment="1">
      <alignment horizontal="center" vertical="center" wrapText="1"/>
    </xf>
    <xf numFmtId="0" fontId="58" fillId="4" borderId="31" xfId="0" applyFont="1" applyFill="1" applyBorder="1" applyAlignment="1">
      <alignment horizontal="center" vertical="center"/>
    </xf>
    <xf numFmtId="0" fontId="58" fillId="4" borderId="33" xfId="0" applyFont="1" applyFill="1" applyBorder="1" applyAlignment="1">
      <alignment horizontal="center" vertical="center"/>
    </xf>
    <xf numFmtId="0" fontId="58" fillId="4" borderId="34" xfId="0" applyFont="1" applyFill="1" applyBorder="1" applyAlignment="1">
      <alignment horizontal="center" vertical="center"/>
    </xf>
    <xf numFmtId="0" fontId="58" fillId="4" borderId="40" xfId="0" applyFont="1" applyFill="1" applyBorder="1" applyAlignment="1">
      <alignment horizontal="center" vertical="center"/>
    </xf>
    <xf numFmtId="0" fontId="58" fillId="4" borderId="37" xfId="0" applyFont="1" applyFill="1" applyBorder="1" applyAlignment="1">
      <alignment horizontal="center" vertical="center"/>
    </xf>
    <xf numFmtId="0" fontId="58" fillId="4" borderId="32" xfId="0" applyFont="1" applyFill="1" applyBorder="1" applyAlignment="1">
      <alignment horizontal="center" vertical="center"/>
    </xf>
    <xf numFmtId="0" fontId="58" fillId="4" borderId="42" xfId="0" applyFont="1" applyFill="1" applyBorder="1" applyAlignment="1">
      <alignment horizontal="center" vertical="center"/>
    </xf>
    <xf numFmtId="0" fontId="58" fillId="4" borderId="30" xfId="0" applyFont="1" applyFill="1" applyBorder="1" applyAlignment="1">
      <alignment horizontal="center" vertical="center"/>
    </xf>
    <xf numFmtId="0" fontId="58" fillId="4" borderId="39" xfId="0" applyFont="1" applyFill="1" applyBorder="1" applyAlignment="1">
      <alignment horizontal="center" vertical="center"/>
    </xf>
    <xf numFmtId="0" fontId="58" fillId="0" borderId="42" xfId="0" applyFont="1" applyFill="1" applyBorder="1" applyAlignment="1">
      <alignment vertical="center"/>
    </xf>
    <xf numFmtId="0" fontId="58" fillId="0" borderId="39" xfId="0" applyFont="1" applyFill="1" applyBorder="1" applyAlignment="1">
      <alignment vertical="center"/>
    </xf>
    <xf numFmtId="0" fontId="58" fillId="0" borderId="42" xfId="0" applyFont="1" applyFill="1" applyBorder="1" applyAlignment="1">
      <alignment horizontal="right" vertical="center"/>
    </xf>
    <xf numFmtId="0" fontId="58" fillId="0" borderId="30" xfId="0" applyFont="1" applyFill="1" applyBorder="1" applyAlignment="1">
      <alignment horizontal="right" vertical="center"/>
    </xf>
    <xf numFmtId="0" fontId="58" fillId="0" borderId="39" xfId="0" applyFont="1" applyFill="1" applyBorder="1" applyAlignment="1">
      <alignment horizontal="right" vertical="center"/>
    </xf>
    <xf numFmtId="0" fontId="58" fillId="4" borderId="31" xfId="0" applyFont="1" applyFill="1" applyBorder="1" applyAlignment="1">
      <alignment vertical="center"/>
    </xf>
    <xf numFmtId="0" fontId="58" fillId="4" borderId="34" xfId="0" applyFont="1" applyFill="1" applyBorder="1" applyAlignment="1">
      <alignment vertical="center"/>
    </xf>
    <xf numFmtId="0" fontId="58" fillId="4" borderId="31" xfId="0" applyFont="1" applyFill="1" applyBorder="1" applyAlignment="1">
      <alignment horizontal="right" vertical="center"/>
    </xf>
    <xf numFmtId="0" fontId="58" fillId="4" borderId="33" xfId="0" applyFont="1" applyFill="1" applyBorder="1" applyAlignment="1">
      <alignment horizontal="right" vertical="center"/>
    </xf>
    <xf numFmtId="0" fontId="58" fillId="4" borderId="34" xfId="0" applyFont="1" applyFill="1" applyBorder="1" applyAlignment="1">
      <alignment horizontal="right" vertical="center"/>
    </xf>
    <xf numFmtId="0" fontId="58" fillId="0" borderId="43" xfId="0" applyFont="1" applyFill="1" applyBorder="1" applyAlignment="1">
      <alignment horizontal="right" vertical="center"/>
    </xf>
    <xf numFmtId="0" fontId="58" fillId="0" borderId="35" xfId="0" applyFont="1" applyFill="1" applyBorder="1" applyAlignment="1">
      <alignment horizontal="right" vertical="center"/>
    </xf>
    <xf numFmtId="0" fontId="58" fillId="4" borderId="39" xfId="0" applyFont="1" applyFill="1" applyBorder="1" applyAlignment="1">
      <alignment horizontal="center" vertical="center" wrapText="1"/>
    </xf>
    <xf numFmtId="0" fontId="58" fillId="4" borderId="32" xfId="0" applyFont="1" applyFill="1" applyBorder="1" applyAlignment="1">
      <alignment horizontal="center" vertical="center" wrapText="1"/>
    </xf>
    <xf numFmtId="0" fontId="58" fillId="4" borderId="35" xfId="0" applyFont="1" applyFill="1" applyBorder="1" applyAlignment="1">
      <alignment horizontal="center" vertical="center" wrapText="1"/>
    </xf>
    <xf numFmtId="0" fontId="58" fillId="4" borderId="36" xfId="0" applyFont="1" applyFill="1" applyBorder="1" applyAlignment="1">
      <alignment horizontal="center" vertical="center" wrapText="1"/>
    </xf>
    <xf numFmtId="0" fontId="58" fillId="4" borderId="38" xfId="0" applyFont="1" applyFill="1" applyBorder="1" applyAlignment="1">
      <alignment horizontal="center" vertical="center" wrapText="1"/>
    </xf>
    <xf numFmtId="0" fontId="58" fillId="4" borderId="40" xfId="0" applyFont="1" applyFill="1" applyBorder="1" applyAlignment="1">
      <alignment horizontal="center" vertical="center" wrapText="1"/>
    </xf>
    <xf numFmtId="0" fontId="58" fillId="4" borderId="33" xfId="0" applyFont="1" applyFill="1" applyBorder="1" applyAlignment="1">
      <alignment horizontal="center" vertical="center" wrapText="1"/>
    </xf>
    <xf numFmtId="0" fontId="58" fillId="4" borderId="34" xfId="0" applyFont="1" applyFill="1" applyBorder="1" applyAlignment="1">
      <alignment horizontal="center" vertical="center" wrapText="1"/>
    </xf>
    <xf numFmtId="0" fontId="58" fillId="0" borderId="38" xfId="0" applyFont="1" applyFill="1" applyBorder="1" applyAlignment="1">
      <alignment horizontal="right" vertical="center"/>
    </xf>
    <xf numFmtId="0" fontId="58" fillId="0" borderId="0" xfId="0" applyFont="1" applyFill="1"/>
    <xf numFmtId="0" fontId="59" fillId="4" borderId="31" xfId="0" applyFont="1" applyFill="1" applyBorder="1" applyAlignment="1">
      <alignment vertical="center" wrapText="1"/>
    </xf>
    <xf numFmtId="0" fontId="59" fillId="4" borderId="34" xfId="0" applyFont="1" applyFill="1" applyBorder="1" applyAlignment="1">
      <alignment vertical="center" wrapText="1"/>
    </xf>
    <xf numFmtId="0" fontId="58" fillId="0" borderId="31" xfId="0" applyFont="1" applyFill="1" applyBorder="1" applyAlignment="1">
      <alignment vertical="center" wrapText="1"/>
    </xf>
    <xf numFmtId="0" fontId="58" fillId="0" borderId="34" xfId="0" applyFont="1" applyFill="1" applyBorder="1" applyAlignment="1">
      <alignment vertical="center" wrapText="1"/>
    </xf>
    <xf numFmtId="168" fontId="58" fillId="0" borderId="31" xfId="0" applyNumberFormat="1" applyFont="1" applyFill="1" applyBorder="1" applyAlignment="1">
      <alignment horizontal="right" vertical="center"/>
    </xf>
    <xf numFmtId="168" fontId="58" fillId="0" borderId="33" xfId="0" applyNumberFormat="1" applyFont="1" applyFill="1" applyBorder="1" applyAlignment="1">
      <alignment horizontal="right" vertical="center"/>
    </xf>
    <xf numFmtId="168" fontId="58" fillId="0" borderId="34" xfId="0" applyNumberFormat="1" applyFont="1" applyFill="1" applyBorder="1" applyAlignment="1">
      <alignment horizontal="right" vertical="center"/>
    </xf>
    <xf numFmtId="0" fontId="60" fillId="0" borderId="31" xfId="0" applyFont="1" applyFill="1" applyBorder="1" applyAlignment="1">
      <alignment vertical="top"/>
    </xf>
    <xf numFmtId="0" fontId="60" fillId="0" borderId="33" xfId="0" applyFont="1" applyFill="1" applyBorder="1" applyAlignment="1">
      <alignment vertical="top"/>
    </xf>
    <xf numFmtId="0" fontId="60" fillId="0" borderId="34" xfId="0" applyFont="1" applyFill="1" applyBorder="1" applyAlignment="1">
      <alignment vertical="top"/>
    </xf>
    <xf numFmtId="0" fontId="58" fillId="0" borderId="40" xfId="0" applyFont="1" applyFill="1" applyBorder="1" applyAlignment="1">
      <alignment vertical="center" wrapText="1"/>
    </xf>
    <xf numFmtId="0" fontId="58" fillId="0" borderId="32" xfId="0" applyFont="1" applyFill="1" applyBorder="1" applyAlignment="1">
      <alignment vertical="center" wrapText="1"/>
    </xf>
    <xf numFmtId="0" fontId="58" fillId="0" borderId="42" xfId="0" applyFont="1" applyFill="1" applyBorder="1" applyAlignment="1">
      <alignment vertical="center" wrapText="1"/>
    </xf>
    <xf numFmtId="0" fontId="58" fillId="0" borderId="39" xfId="0" applyFont="1" applyFill="1" applyBorder="1" applyAlignment="1">
      <alignment vertical="center" wrapText="1"/>
    </xf>
    <xf numFmtId="168" fontId="58" fillId="0" borderId="40" xfId="0" applyNumberFormat="1" applyFont="1" applyFill="1" applyBorder="1" applyAlignment="1">
      <alignment horizontal="right" vertical="center"/>
    </xf>
    <xf numFmtId="168" fontId="58" fillId="0" borderId="37" xfId="0" applyNumberFormat="1" applyFont="1" applyFill="1" applyBorder="1" applyAlignment="1">
      <alignment horizontal="right" vertical="center"/>
    </xf>
    <xf numFmtId="168" fontId="58" fillId="0" borderId="32" xfId="0" applyNumberFormat="1" applyFont="1" applyFill="1" applyBorder="1" applyAlignment="1">
      <alignment horizontal="right" vertical="center"/>
    </xf>
    <xf numFmtId="0" fontId="58" fillId="0" borderId="41" xfId="0" applyFont="1" applyFill="1" applyBorder="1" applyAlignment="1">
      <alignment vertical="center" wrapText="1"/>
    </xf>
    <xf numFmtId="0" fontId="58" fillId="0" borderId="36" xfId="0" applyFont="1" applyFill="1" applyBorder="1" applyAlignment="1">
      <alignment vertical="center" wrapText="1"/>
    </xf>
    <xf numFmtId="168" fontId="58" fillId="0" borderId="41" xfId="0" applyNumberFormat="1" applyFont="1" applyFill="1" applyBorder="1" applyAlignment="1">
      <alignment horizontal="right" vertical="center"/>
    </xf>
    <xf numFmtId="168" fontId="58" fillId="0" borderId="0" xfId="0" applyNumberFormat="1" applyFont="1" applyFill="1" applyAlignment="1">
      <alignment horizontal="right" vertical="center"/>
    </xf>
    <xf numFmtId="168" fontId="58" fillId="0" borderId="36" xfId="0" applyNumberFormat="1" applyFont="1" applyFill="1" applyBorder="1" applyAlignment="1">
      <alignment horizontal="right" vertical="center"/>
    </xf>
    <xf numFmtId="0" fontId="58" fillId="0" borderId="31" xfId="0" applyFont="1" applyFill="1" applyBorder="1" applyAlignment="1">
      <alignment horizontal="right" vertical="center"/>
    </xf>
    <xf numFmtId="0" fontId="58" fillId="0" borderId="33" xfId="0" applyFont="1" applyFill="1" applyBorder="1" applyAlignment="1">
      <alignment horizontal="right" vertical="center"/>
    </xf>
    <xf numFmtId="0" fontId="58" fillId="0" borderId="34" xfId="0" applyFont="1" applyFill="1" applyBorder="1" applyAlignment="1">
      <alignment horizontal="right" vertical="center"/>
    </xf>
    <xf numFmtId="0" fontId="59" fillId="4" borderId="40" xfId="0" applyFont="1" applyFill="1" applyBorder="1" applyAlignment="1">
      <alignment horizontal="center" vertical="center"/>
    </xf>
    <xf numFmtId="0" fontId="59" fillId="4" borderId="37" xfId="0" applyFont="1" applyFill="1" applyBorder="1" applyAlignment="1">
      <alignment horizontal="center" vertical="center"/>
    </xf>
    <xf numFmtId="0" fontId="59" fillId="4" borderId="42" xfId="0" applyFont="1" applyFill="1" applyBorder="1" applyAlignment="1">
      <alignment horizontal="center" vertical="center"/>
    </xf>
    <xf numFmtId="0" fontId="59" fillId="4" borderId="30" xfId="0" applyFont="1" applyFill="1" applyBorder="1" applyAlignment="1">
      <alignment horizontal="center" vertical="center"/>
    </xf>
    <xf numFmtId="168" fontId="58" fillId="0" borderId="42" xfId="0" applyNumberFormat="1" applyFont="1" applyFill="1" applyBorder="1" applyAlignment="1">
      <alignment horizontal="right" vertical="center"/>
    </xf>
    <xf numFmtId="168" fontId="58" fillId="0" borderId="30" xfId="0" applyNumberFormat="1" applyFont="1" applyFill="1" applyBorder="1" applyAlignment="1">
      <alignment horizontal="right" vertical="center"/>
    </xf>
    <xf numFmtId="168" fontId="58" fillId="0" borderId="39" xfId="0" applyNumberFormat="1" applyFont="1" applyFill="1" applyBorder="1" applyAlignment="1">
      <alignment horizontal="right" vertical="center"/>
    </xf>
    <xf numFmtId="0" fontId="59" fillId="4" borderId="31" xfId="0" applyFont="1" applyFill="1" applyBorder="1" applyAlignment="1">
      <alignment horizontal="right" vertical="center"/>
    </xf>
    <xf numFmtId="0" fontId="59" fillId="4" borderId="33" xfId="0" applyFont="1" applyFill="1" applyBorder="1" applyAlignment="1">
      <alignment horizontal="right" vertical="center"/>
    </xf>
    <xf numFmtId="0" fontId="59" fillId="4" borderId="34" xfId="0" applyFont="1" applyFill="1" applyBorder="1" applyAlignment="1">
      <alignment horizontal="right" vertical="center"/>
    </xf>
    <xf numFmtId="0" fontId="2" fillId="3" borderId="4" xfId="0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3" borderId="25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0" fillId="0" borderId="30" xfId="0" applyFont="1" applyFill="1" applyBorder="1" applyAlignment="1">
      <alignment vertical="top"/>
    </xf>
    <xf numFmtId="0" fontId="59" fillId="4" borderId="31" xfId="0" applyFont="1" applyFill="1" applyBorder="1" applyAlignment="1">
      <alignment horizontal="center" vertical="center" wrapText="1"/>
    </xf>
    <xf numFmtId="0" fontId="59" fillId="4" borderId="33" xfId="0" applyFont="1" applyFill="1" applyBorder="1" applyAlignment="1">
      <alignment horizontal="center" vertical="center" wrapText="1"/>
    </xf>
    <xf numFmtId="0" fontId="59" fillId="4" borderId="34" xfId="0" applyFont="1" applyFill="1" applyBorder="1" applyAlignment="1">
      <alignment horizontal="center" vertical="center" wrapText="1"/>
    </xf>
    <xf numFmtId="0" fontId="59" fillId="0" borderId="41" xfId="0" applyFont="1" applyFill="1" applyBorder="1" applyAlignment="1">
      <alignment horizontal="right" vertical="center"/>
    </xf>
    <xf numFmtId="0" fontId="59" fillId="0" borderId="0" xfId="0" applyFont="1" applyFill="1" applyAlignment="1">
      <alignment horizontal="right" vertical="center"/>
    </xf>
    <xf numFmtId="0" fontId="59" fillId="0" borderId="36" xfId="0" applyFont="1" applyFill="1" applyBorder="1" applyAlignment="1">
      <alignment horizontal="right" vertical="center"/>
    </xf>
    <xf numFmtId="0" fontId="59" fillId="0" borderId="42" xfId="0" applyFont="1" applyFill="1" applyBorder="1" applyAlignment="1">
      <alignment horizontal="right" vertical="center"/>
    </xf>
    <xf numFmtId="0" fontId="59" fillId="0" borderId="30" xfId="0" applyFont="1" applyFill="1" applyBorder="1" applyAlignment="1">
      <alignment horizontal="right" vertical="center"/>
    </xf>
    <xf numFmtId="0" fontId="59" fillId="0" borderId="39" xfId="0" applyFont="1" applyFill="1" applyBorder="1" applyAlignment="1">
      <alignment horizontal="right" vertical="center"/>
    </xf>
    <xf numFmtId="0" fontId="58" fillId="0" borderId="0" xfId="0" applyFont="1" applyFill="1" applyAlignment="1">
      <alignment vertical="center"/>
    </xf>
    <xf numFmtId="0" fontId="59" fillId="5" borderId="31" xfId="0" applyFont="1" applyFill="1" applyBorder="1" applyAlignment="1">
      <alignment horizontal="right" vertical="center"/>
    </xf>
    <xf numFmtId="0" fontId="59" fillId="5" borderId="33" xfId="0" applyFont="1" applyFill="1" applyBorder="1" applyAlignment="1">
      <alignment horizontal="right" vertical="center"/>
    </xf>
    <xf numFmtId="0" fontId="59" fillId="5" borderId="34" xfId="0" applyFont="1" applyFill="1" applyBorder="1" applyAlignment="1">
      <alignment horizontal="right" vertical="center"/>
    </xf>
    <xf numFmtId="4" fontId="58" fillId="0" borderId="40" xfId="0" applyNumberFormat="1" applyFont="1" applyFill="1" applyBorder="1" applyAlignment="1">
      <alignment horizontal="right" vertical="center"/>
    </xf>
    <xf numFmtId="4" fontId="58" fillId="0" borderId="37" xfId="0" applyNumberFormat="1" applyFont="1" applyFill="1" applyBorder="1" applyAlignment="1">
      <alignment horizontal="right" vertical="center"/>
    </xf>
    <xf numFmtId="4" fontId="58" fillId="0" borderId="32" xfId="0" applyNumberFormat="1" applyFont="1" applyFill="1" applyBorder="1" applyAlignment="1">
      <alignment horizontal="right" vertical="center"/>
    </xf>
    <xf numFmtId="4" fontId="59" fillId="5" borderId="31" xfId="0" applyNumberFormat="1" applyFont="1" applyFill="1" applyBorder="1" applyAlignment="1">
      <alignment horizontal="right" vertical="center"/>
    </xf>
    <xf numFmtId="4" fontId="59" fillId="5" borderId="33" xfId="0" applyNumberFormat="1" applyFont="1" applyFill="1" applyBorder="1" applyAlignment="1">
      <alignment horizontal="right" vertical="center"/>
    </xf>
    <xf numFmtId="4" fontId="59" fillId="5" borderId="34" xfId="0" applyNumberFormat="1" applyFont="1" applyFill="1" applyBorder="1" applyAlignment="1">
      <alignment horizontal="right" vertical="center"/>
    </xf>
    <xf numFmtId="4" fontId="58" fillId="0" borderId="31" xfId="0" applyNumberFormat="1" applyFont="1" applyFill="1" applyBorder="1" applyAlignment="1">
      <alignment horizontal="right" vertical="center"/>
    </xf>
    <xf numFmtId="4" fontId="58" fillId="0" borderId="33" xfId="0" applyNumberFormat="1" applyFont="1" applyFill="1" applyBorder="1" applyAlignment="1">
      <alignment horizontal="right" vertical="center"/>
    </xf>
    <xf numFmtId="4" fontId="58" fillId="0" borderId="34" xfId="0" applyNumberFormat="1" applyFont="1" applyFill="1" applyBorder="1" applyAlignment="1">
      <alignment horizontal="right" vertical="center"/>
    </xf>
    <xf numFmtId="0" fontId="58" fillId="0" borderId="37" xfId="0" applyFont="1" applyFill="1" applyBorder="1" applyAlignment="1">
      <alignment vertical="center"/>
    </xf>
    <xf numFmtId="0" fontId="58" fillId="0" borderId="30" xfId="0" applyFont="1" applyFill="1" applyBorder="1" applyAlignment="1">
      <alignment vertical="center"/>
    </xf>
    <xf numFmtId="0" fontId="59" fillId="5" borderId="31" xfId="0" applyFont="1" applyFill="1" applyBorder="1" applyAlignment="1">
      <alignment vertical="center"/>
    </xf>
    <xf numFmtId="0" fontId="59" fillId="5" borderId="33" xfId="0" applyFont="1" applyFill="1" applyBorder="1" applyAlignment="1">
      <alignment vertical="center"/>
    </xf>
    <xf numFmtId="0" fontId="59" fillId="5" borderId="34" xfId="0" applyFont="1" applyFill="1" applyBorder="1" applyAlignment="1">
      <alignment vertical="center"/>
    </xf>
    <xf numFmtId="0" fontId="58" fillId="0" borderId="0" xfId="0" applyFont="1" applyFill="1" applyAlignment="1">
      <alignment vertical="top" wrapText="1"/>
    </xf>
    <xf numFmtId="0" fontId="63" fillId="0" borderId="0" xfId="0" applyFont="1" applyFill="1" applyAlignment="1">
      <alignment vertical="top"/>
    </xf>
    <xf numFmtId="0" fontId="64" fillId="0" borderId="30" xfId="0" applyFont="1" applyFill="1" applyBorder="1" applyAlignment="1">
      <alignment vertical="center"/>
    </xf>
    <xf numFmtId="0" fontId="64" fillId="0" borderId="30" xfId="0" applyFont="1" applyFill="1" applyBorder="1" applyAlignment="1">
      <alignment horizontal="right" vertical="center"/>
    </xf>
    <xf numFmtId="0" fontId="65" fillId="0" borderId="31" xfId="0" applyFont="1" applyFill="1" applyBorder="1" applyAlignment="1">
      <alignment horizontal="center" vertical="center"/>
    </xf>
    <xf numFmtId="0" fontId="65" fillId="0" borderId="37" xfId="0" applyFont="1" applyFill="1" applyBorder="1" applyAlignment="1">
      <alignment horizontal="center" vertical="center"/>
    </xf>
    <xf numFmtId="0" fontId="65" fillId="0" borderId="32" xfId="0" applyFont="1" applyFill="1" applyBorder="1" applyAlignment="1">
      <alignment horizontal="center" vertical="center"/>
    </xf>
    <xf numFmtId="0" fontId="65" fillId="0" borderId="38" xfId="0" applyFont="1" applyFill="1" applyBorder="1" applyAlignment="1">
      <alignment horizontal="center" vertical="center"/>
    </xf>
    <xf numFmtId="0" fontId="65" fillId="0" borderId="30" xfId="0" applyFont="1" applyFill="1" applyBorder="1" applyAlignment="1">
      <alignment horizontal="center" vertical="center"/>
    </xf>
    <xf numFmtId="0" fontId="65" fillId="0" borderId="39" xfId="0" applyFont="1" applyFill="1" applyBorder="1" applyAlignment="1">
      <alignment horizontal="center" vertical="center"/>
    </xf>
    <xf numFmtId="0" fontId="66" fillId="0" borderId="40" xfId="0" applyFont="1" applyFill="1" applyBorder="1" applyAlignment="1">
      <alignment horizontal="center" vertical="center"/>
    </xf>
    <xf numFmtId="0" fontId="66" fillId="0" borderId="32" xfId="0" applyFont="1" applyFill="1" applyBorder="1" applyAlignment="1">
      <alignment horizontal="center" vertical="center"/>
    </xf>
    <xf numFmtId="0" fontId="66" fillId="0" borderId="37" xfId="0" applyFont="1" applyFill="1" applyBorder="1" applyAlignment="1">
      <alignment horizontal="center" vertical="center"/>
    </xf>
    <xf numFmtId="0" fontId="66" fillId="0" borderId="42" xfId="0" applyFont="1" applyFill="1" applyBorder="1" applyAlignment="1">
      <alignment horizontal="center" vertical="center"/>
    </xf>
    <xf numFmtId="0" fontId="66" fillId="0" borderId="39" xfId="0" applyFont="1" applyFill="1" applyBorder="1" applyAlignment="1">
      <alignment horizontal="center" vertical="center"/>
    </xf>
    <xf numFmtId="0" fontId="66" fillId="0" borderId="30" xfId="0" applyFont="1" applyFill="1" applyBorder="1" applyAlignment="1">
      <alignment horizontal="center" vertical="center"/>
    </xf>
    <xf numFmtId="0" fontId="50" fillId="0" borderId="31" xfId="0" applyFont="1" applyFill="1" applyBorder="1" applyAlignment="1">
      <alignment vertical="center"/>
    </xf>
    <xf numFmtId="0" fontId="50" fillId="0" borderId="33" xfId="0" applyFont="1" applyFill="1" applyBorder="1" applyAlignment="1">
      <alignment vertical="center"/>
    </xf>
    <xf numFmtId="0" fontId="50" fillId="0" borderId="34" xfId="0" applyFont="1" applyFill="1" applyBorder="1" applyAlignment="1">
      <alignment vertical="center"/>
    </xf>
    <xf numFmtId="170" fontId="50" fillId="0" borderId="31" xfId="0" applyNumberFormat="1" applyFont="1" applyFill="1" applyBorder="1" applyAlignment="1">
      <alignment horizontal="right" vertical="center" wrapText="1"/>
    </xf>
    <xf numFmtId="170" fontId="50" fillId="0" borderId="34" xfId="0" applyNumberFormat="1" applyFont="1" applyFill="1" applyBorder="1" applyAlignment="1">
      <alignment horizontal="right" vertical="center" wrapText="1"/>
    </xf>
    <xf numFmtId="170" fontId="50" fillId="0" borderId="33" xfId="0" applyNumberFormat="1" applyFont="1" applyFill="1" applyBorder="1" applyAlignment="1">
      <alignment horizontal="right" vertical="center" wrapText="1"/>
    </xf>
    <xf numFmtId="0" fontId="65" fillId="0" borderId="35" xfId="0" applyFont="1" applyFill="1" applyBorder="1" applyAlignment="1">
      <alignment horizontal="center" vertical="center"/>
    </xf>
    <xf numFmtId="0" fontId="65" fillId="0" borderId="0" xfId="0" applyFont="1" applyFill="1" applyAlignment="1">
      <alignment horizontal="center" vertical="center"/>
    </xf>
    <xf numFmtId="0" fontId="65" fillId="0" borderId="36" xfId="0" applyFont="1" applyFill="1" applyBorder="1" applyAlignment="1">
      <alignment horizontal="center" vertical="center"/>
    </xf>
    <xf numFmtId="0" fontId="66" fillId="0" borderId="41" xfId="0" applyFont="1" applyFill="1" applyBorder="1" applyAlignment="1">
      <alignment horizontal="right" vertical="center"/>
    </xf>
    <xf numFmtId="0" fontId="66" fillId="0" borderId="36" xfId="0" applyFont="1" applyFill="1" applyBorder="1" applyAlignment="1">
      <alignment horizontal="right" vertical="center"/>
    </xf>
    <xf numFmtId="0" fontId="67" fillId="0" borderId="41" xfId="0" applyFont="1" applyFill="1" applyBorder="1" applyAlignment="1">
      <alignment horizontal="right" vertical="center"/>
    </xf>
    <xf numFmtId="0" fontId="67" fillId="0" borderId="0" xfId="0" applyFont="1" applyFill="1" applyAlignment="1">
      <alignment horizontal="right" vertical="center"/>
    </xf>
    <xf numFmtId="0" fontId="67" fillId="0" borderId="36" xfId="0" applyFont="1" applyFill="1" applyBorder="1" applyAlignment="1">
      <alignment horizontal="right" vertical="center"/>
    </xf>
    <xf numFmtId="0" fontId="53" fillId="0" borderId="37" xfId="0" applyFont="1" applyFill="1" applyBorder="1" applyAlignment="1">
      <alignment wrapText="1"/>
    </xf>
    <xf numFmtId="0" fontId="68" fillId="3" borderId="22" xfId="0" applyNumberFormat="1" applyFont="1" applyFill="1" applyBorder="1" applyAlignment="1">
      <alignment horizontal="center" vertical="center"/>
    </xf>
    <xf numFmtId="0" fontId="68" fillId="3" borderId="20" xfId="0" applyNumberFormat="1" applyFont="1" applyFill="1" applyBorder="1" applyAlignment="1">
      <alignment horizontal="center" vertical="center"/>
    </xf>
    <xf numFmtId="0" fontId="68" fillId="3" borderId="7" xfId="0" applyNumberFormat="1" applyFont="1" applyFill="1" applyBorder="1" applyAlignment="1">
      <alignment horizontal="center" vertical="center"/>
    </xf>
    <xf numFmtId="0" fontId="68" fillId="3" borderId="21" xfId="0" applyNumberFormat="1" applyFont="1" applyFill="1" applyBorder="1" applyAlignment="1">
      <alignment horizontal="center" vertical="center"/>
    </xf>
    <xf numFmtId="0" fontId="68" fillId="3" borderId="24" xfId="0" applyNumberFormat="1" applyFont="1" applyFill="1" applyBorder="1" applyAlignment="1">
      <alignment horizontal="center" vertical="center"/>
    </xf>
    <xf numFmtId="169" fontId="2" fillId="0" borderId="20" xfId="0" applyNumberFormat="1" applyFont="1" applyBorder="1" applyAlignment="1">
      <alignment horizontal="right"/>
    </xf>
    <xf numFmtId="169" fontId="2" fillId="0" borderId="24" xfId="0" applyNumberFormat="1" applyFont="1" applyBorder="1" applyAlignment="1">
      <alignment horizontal="right"/>
    </xf>
    <xf numFmtId="169" fontId="2" fillId="0" borderId="21" xfId="0" applyNumberFormat="1" applyFont="1" applyBorder="1" applyAlignment="1">
      <alignment horizontal="right"/>
    </xf>
    <xf numFmtId="0" fontId="68" fillId="3" borderId="23" xfId="0" applyNumberFormat="1" applyFont="1" applyFill="1" applyBorder="1" applyAlignment="1">
      <alignment horizontal="center" vertical="center"/>
    </xf>
    <xf numFmtId="0" fontId="2" fillId="0" borderId="7" xfId="0" applyNumberFormat="1" applyFont="1" applyBorder="1" applyAlignment="1">
      <alignment horizontal="left"/>
    </xf>
    <xf numFmtId="0" fontId="0" fillId="0" borderId="21" xfId="0" applyBorder="1" applyAlignment="1">
      <alignment horizontal="left"/>
    </xf>
    <xf numFmtId="169" fontId="2" fillId="0" borderId="28" xfId="0" applyNumberFormat="1" applyFont="1" applyBorder="1" applyAlignment="1">
      <alignment horizontal="right"/>
    </xf>
    <xf numFmtId="0" fontId="0" fillId="0" borderId="26" xfId="0" applyBorder="1" applyAlignment="1"/>
    <xf numFmtId="0" fontId="2" fillId="0" borderId="6" xfId="0" applyNumberFormat="1" applyFont="1" applyBorder="1" applyAlignment="1">
      <alignment horizontal="left"/>
    </xf>
    <xf numFmtId="49" fontId="2" fillId="3" borderId="20" xfId="0" applyNumberFormat="1" applyFont="1" applyFill="1" applyBorder="1" applyAlignment="1">
      <alignment horizontal="center"/>
    </xf>
    <xf numFmtId="0" fontId="69" fillId="4" borderId="31" xfId="0" applyFont="1" applyFill="1" applyBorder="1" applyAlignment="1">
      <alignment horizontal="center" vertical="center"/>
    </xf>
    <xf numFmtId="0" fontId="69" fillId="4" borderId="37" xfId="0" applyFont="1" applyFill="1" applyBorder="1" applyAlignment="1">
      <alignment horizontal="center" vertical="center"/>
    </xf>
    <xf numFmtId="0" fontId="69" fillId="4" borderId="32" xfId="0" applyFont="1" applyFill="1" applyBorder="1" applyAlignment="1">
      <alignment horizontal="center" vertical="center"/>
    </xf>
    <xf numFmtId="0" fontId="69" fillId="4" borderId="38" xfId="0" applyFont="1" applyFill="1" applyBorder="1" applyAlignment="1">
      <alignment horizontal="center" vertical="center"/>
    </xf>
    <xf numFmtId="0" fontId="69" fillId="4" borderId="30" xfId="0" applyFont="1" applyFill="1" applyBorder="1" applyAlignment="1">
      <alignment horizontal="center" vertical="center"/>
    </xf>
    <xf numFmtId="0" fontId="69" fillId="4" borderId="39" xfId="0" applyFont="1" applyFill="1" applyBorder="1" applyAlignment="1">
      <alignment horizontal="center" vertical="center"/>
    </xf>
    <xf numFmtId="0" fontId="52" fillId="4" borderId="37" xfId="0" applyFont="1" applyFill="1" applyBorder="1" applyAlignment="1">
      <alignment horizontal="center" vertical="center" wrapText="1"/>
    </xf>
    <xf numFmtId="0" fontId="52" fillId="4" borderId="32" xfId="0" applyFont="1" applyFill="1" applyBorder="1" applyAlignment="1">
      <alignment horizontal="center" vertical="center" wrapText="1"/>
    </xf>
    <xf numFmtId="0" fontId="52" fillId="4" borderId="38" xfId="0" applyFont="1" applyFill="1" applyBorder="1" applyAlignment="1">
      <alignment horizontal="center" vertical="center" wrapText="1"/>
    </xf>
    <xf numFmtId="0" fontId="52" fillId="4" borderId="30" xfId="0" applyFont="1" applyFill="1" applyBorder="1" applyAlignment="1">
      <alignment horizontal="center" vertical="center" wrapText="1"/>
    </xf>
    <xf numFmtId="0" fontId="52" fillId="4" borderId="39" xfId="0" applyFont="1" applyFill="1" applyBorder="1" applyAlignment="1">
      <alignment horizontal="center" vertical="center" wrapText="1"/>
    </xf>
    <xf numFmtId="0" fontId="52" fillId="4" borderId="33" xfId="0" applyFont="1" applyFill="1" applyBorder="1" applyAlignment="1">
      <alignment horizontal="center" vertical="center"/>
    </xf>
    <xf numFmtId="0" fontId="52" fillId="4" borderId="34" xfId="0" applyFont="1" applyFill="1" applyBorder="1" applyAlignment="1">
      <alignment horizontal="center" vertical="center"/>
    </xf>
    <xf numFmtId="0" fontId="52" fillId="0" borderId="40" xfId="0" applyFont="1" applyFill="1" applyBorder="1" applyAlignment="1">
      <alignment vertical="center"/>
    </xf>
    <xf numFmtId="0" fontId="52" fillId="0" borderId="37" xfId="0" applyFont="1" applyFill="1" applyBorder="1" applyAlignment="1">
      <alignment vertical="center"/>
    </xf>
    <xf numFmtId="0" fontId="52" fillId="0" borderId="32" xfId="0" applyFont="1" applyFill="1" applyBorder="1" applyAlignment="1">
      <alignment vertical="center"/>
    </xf>
    <xf numFmtId="0" fontId="56" fillId="0" borderId="40" xfId="0" applyFont="1" applyFill="1" applyBorder="1" applyAlignment="1">
      <alignment horizontal="right" vertical="center"/>
    </xf>
    <xf numFmtId="0" fontId="56" fillId="0" borderId="37" xfId="0" applyFont="1" applyFill="1" applyBorder="1" applyAlignment="1">
      <alignment horizontal="right" vertical="center"/>
    </xf>
    <xf numFmtId="0" fontId="56" fillId="0" borderId="32" xfId="0" applyFont="1" applyFill="1" applyBorder="1" applyAlignment="1">
      <alignment horizontal="right" vertical="center"/>
    </xf>
    <xf numFmtId="0" fontId="52" fillId="0" borderId="41" xfId="0" applyFont="1" applyFill="1" applyBorder="1" applyAlignment="1">
      <alignment vertical="center"/>
    </xf>
    <xf numFmtId="0" fontId="52" fillId="0" borderId="0" xfId="0" applyFont="1" applyFill="1" applyAlignment="1">
      <alignment vertical="center"/>
    </xf>
    <xf numFmtId="0" fontId="52" fillId="0" borderId="36" xfId="0" applyFont="1" applyFill="1" applyBorder="1" applyAlignment="1">
      <alignment vertical="center"/>
    </xf>
    <xf numFmtId="0" fontId="56" fillId="0" borderId="41" xfId="0" applyFont="1" applyFill="1" applyBorder="1" applyAlignment="1">
      <alignment horizontal="right" vertical="center"/>
    </xf>
    <xf numFmtId="0" fontId="56" fillId="0" borderId="0" xfId="0" applyFont="1" applyFill="1" applyAlignment="1">
      <alignment horizontal="right" vertical="center"/>
    </xf>
    <xf numFmtId="0" fontId="56" fillId="0" borderId="36" xfId="0" applyFont="1" applyFill="1" applyBorder="1" applyAlignment="1">
      <alignment horizontal="right" vertical="center"/>
    </xf>
    <xf numFmtId="0" fontId="56" fillId="0" borderId="41" xfId="0" applyFont="1" applyFill="1" applyBorder="1" applyAlignment="1">
      <alignment vertical="center"/>
    </xf>
    <xf numFmtId="0" fontId="56" fillId="0" borderId="0" xfId="0" applyFont="1" applyFill="1" applyAlignment="1">
      <alignment vertical="center"/>
    </xf>
    <xf numFmtId="0" fontId="56" fillId="0" borderId="36" xfId="0" applyFont="1" applyFill="1" applyBorder="1" applyAlignment="1">
      <alignment vertical="center"/>
    </xf>
    <xf numFmtId="0" fontId="56" fillId="6" borderId="31" xfId="0" applyFont="1" applyFill="1" applyBorder="1" applyAlignment="1">
      <alignment vertical="center"/>
    </xf>
    <xf numFmtId="0" fontId="56" fillId="6" borderId="33" xfId="0" applyFont="1" applyFill="1" applyBorder="1" applyAlignment="1">
      <alignment vertical="center"/>
    </xf>
    <xf numFmtId="0" fontId="56" fillId="6" borderId="34" xfId="0" applyFont="1" applyFill="1" applyBorder="1" applyAlignment="1">
      <alignment vertical="center"/>
    </xf>
    <xf numFmtId="0" fontId="56" fillId="6" borderId="31" xfId="0" applyFont="1" applyFill="1" applyBorder="1" applyAlignment="1">
      <alignment horizontal="right" vertical="center"/>
    </xf>
    <xf numFmtId="0" fontId="56" fillId="6" borderId="33" xfId="0" applyFont="1" applyFill="1" applyBorder="1" applyAlignment="1">
      <alignment horizontal="right" vertical="center"/>
    </xf>
    <xf numFmtId="0" fontId="56" fillId="6" borderId="34" xfId="0" applyFont="1" applyFill="1" applyBorder="1" applyAlignment="1">
      <alignment horizontal="right" vertical="center"/>
    </xf>
    <xf numFmtId="0" fontId="56" fillId="0" borderId="42" xfId="0" applyFont="1" applyFill="1" applyBorder="1" applyAlignment="1">
      <alignment vertical="center"/>
    </xf>
    <xf numFmtId="0" fontId="56" fillId="0" borderId="30" xfId="0" applyFont="1" applyFill="1" applyBorder="1" applyAlignment="1">
      <alignment vertical="center"/>
    </xf>
    <xf numFmtId="0" fontId="56" fillId="0" borderId="39" xfId="0" applyFont="1" applyFill="1" applyBorder="1" applyAlignment="1">
      <alignment vertical="center"/>
    </xf>
    <xf numFmtId="0" fontId="56" fillId="0" borderId="42" xfId="0" applyFont="1" applyFill="1" applyBorder="1" applyAlignment="1">
      <alignment horizontal="right" vertical="center"/>
    </xf>
    <xf numFmtId="0" fontId="56" fillId="0" borderId="30" xfId="0" applyFont="1" applyFill="1" applyBorder="1" applyAlignment="1">
      <alignment horizontal="right" vertical="center"/>
    </xf>
    <xf numFmtId="0" fontId="56" fillId="0" borderId="39" xfId="0" applyFont="1" applyFill="1" applyBorder="1" applyAlignment="1">
      <alignment horizontal="right" vertical="center"/>
    </xf>
    <xf numFmtId="0" fontId="56" fillId="0" borderId="40" xfId="0" applyFont="1" applyFill="1" applyBorder="1" applyAlignment="1">
      <alignment vertical="center"/>
    </xf>
    <xf numFmtId="0" fontId="56" fillId="0" borderId="37" xfId="0" applyFont="1" applyFill="1" applyBorder="1" applyAlignment="1">
      <alignment vertical="center"/>
    </xf>
    <xf numFmtId="0" fontId="56" fillId="0" borderId="32" xfId="0" applyFont="1" applyFill="1" applyBorder="1" applyAlignment="1">
      <alignment vertical="center"/>
    </xf>
    <xf numFmtId="0" fontId="69" fillId="4" borderId="31" xfId="0" applyFont="1" applyFill="1" applyBorder="1" applyAlignment="1">
      <alignment horizontal="center" vertical="center" wrapText="1"/>
    </xf>
    <xf numFmtId="0" fontId="69" fillId="4" borderId="37" xfId="0" applyFont="1" applyFill="1" applyBorder="1" applyAlignment="1">
      <alignment horizontal="center" vertical="center" wrapText="1"/>
    </xf>
    <xf numFmtId="0" fontId="69" fillId="4" borderId="32" xfId="0" applyFont="1" applyFill="1" applyBorder="1" applyAlignment="1">
      <alignment horizontal="center" vertical="center" wrapText="1"/>
    </xf>
    <xf numFmtId="0" fontId="69" fillId="4" borderId="38" xfId="0" applyFont="1" applyFill="1" applyBorder="1" applyAlignment="1">
      <alignment horizontal="center" vertical="center" wrapText="1"/>
    </xf>
    <xf numFmtId="0" fontId="69" fillId="4" borderId="30" xfId="0" applyFont="1" applyFill="1" applyBorder="1" applyAlignment="1">
      <alignment horizontal="center" vertical="center" wrapText="1"/>
    </xf>
    <xf numFmtId="0" fontId="69" fillId="4" borderId="39" xfId="0" applyFont="1" applyFill="1" applyBorder="1" applyAlignment="1">
      <alignment horizontal="center" vertical="center" wrapText="1"/>
    </xf>
    <xf numFmtId="0" fontId="56" fillId="7" borderId="31" xfId="0" applyFont="1" applyFill="1" applyBorder="1" applyAlignment="1">
      <alignment vertical="center"/>
    </xf>
    <xf numFmtId="0" fontId="56" fillId="7" borderId="33" xfId="0" applyFont="1" applyFill="1" applyBorder="1" applyAlignment="1">
      <alignment vertical="center"/>
    </xf>
    <xf numFmtId="0" fontId="56" fillId="7" borderId="34" xfId="0" applyFont="1" applyFill="1" applyBorder="1" applyAlignment="1">
      <alignment vertical="center"/>
    </xf>
    <xf numFmtId="0" fontId="56" fillId="7" borderId="31" xfId="0" applyFont="1" applyFill="1" applyBorder="1" applyAlignment="1">
      <alignment horizontal="right" vertical="center"/>
    </xf>
    <xf numFmtId="0" fontId="56" fillId="7" borderId="34" xfId="0" applyFont="1" applyFill="1" applyBorder="1" applyAlignment="1">
      <alignment horizontal="right" vertical="center"/>
    </xf>
    <xf numFmtId="0" fontId="56" fillId="7" borderId="33" xfId="0" applyFont="1" applyFill="1" applyBorder="1" applyAlignment="1">
      <alignment horizontal="right" vertical="center"/>
    </xf>
    <xf numFmtId="0" fontId="69" fillId="4" borderId="33" xfId="0" applyFont="1" applyFill="1" applyBorder="1" applyAlignment="1">
      <alignment horizontal="center" vertical="center"/>
    </xf>
    <xf numFmtId="0" fontId="69" fillId="4" borderId="34" xfId="0" applyFont="1" applyFill="1" applyBorder="1" applyAlignment="1">
      <alignment horizontal="center" vertical="center"/>
    </xf>
    <xf numFmtId="0" fontId="56" fillId="0" borderId="31" xfId="0" applyFont="1" applyFill="1" applyBorder="1" applyAlignment="1">
      <alignment horizontal="right" vertical="center"/>
    </xf>
    <xf numFmtId="0" fontId="56" fillId="0" borderId="33" xfId="0" applyFont="1" applyFill="1" applyBorder="1" applyAlignment="1">
      <alignment horizontal="right" vertical="center"/>
    </xf>
    <xf numFmtId="0" fontId="56" fillId="0" borderId="34" xfId="0" applyFont="1" applyFill="1" applyBorder="1" applyAlignment="1">
      <alignment horizontal="right" vertical="center"/>
    </xf>
    <xf numFmtId="0" fontId="56" fillId="0" borderId="42" xfId="0" applyFont="1" applyFill="1" applyBorder="1" applyAlignment="1">
      <alignment vertical="center" wrapText="1"/>
    </xf>
    <xf numFmtId="0" fontId="56" fillId="0" borderId="30" xfId="0" applyFont="1" applyFill="1" applyBorder="1" applyAlignment="1">
      <alignment vertical="center" wrapText="1"/>
    </xf>
    <xf numFmtId="0" fontId="56" fillId="0" borderId="39" xfId="0" applyFont="1" applyFill="1" applyBorder="1" applyAlignment="1">
      <alignment vertical="center" wrapText="1"/>
    </xf>
    <xf numFmtId="0" fontId="56" fillId="0" borderId="31" xfId="0" applyFont="1" applyFill="1" applyBorder="1" applyAlignment="1">
      <alignment horizontal="right" vertical="center" wrapText="1"/>
    </xf>
    <xf numFmtId="0" fontId="56" fillId="0" borderId="33" xfId="0" applyFont="1" applyFill="1" applyBorder="1" applyAlignment="1">
      <alignment horizontal="right" vertical="center" wrapText="1"/>
    </xf>
    <xf numFmtId="0" fontId="56" fillId="0" borderId="34" xfId="0" applyFont="1" applyFill="1" applyBorder="1" applyAlignment="1">
      <alignment horizontal="right" vertical="center" wrapText="1"/>
    </xf>
    <xf numFmtId="0" fontId="70" fillId="0" borderId="31" xfId="0" applyFont="1" applyFill="1" applyBorder="1" applyAlignment="1">
      <alignment horizontal="right" vertical="center" wrapText="1"/>
    </xf>
    <xf numFmtId="0" fontId="70" fillId="0" borderId="33" xfId="0" applyFont="1" applyFill="1" applyBorder="1" applyAlignment="1">
      <alignment horizontal="right" vertical="center" wrapText="1"/>
    </xf>
    <xf numFmtId="0" fontId="70" fillId="0" borderId="34" xfId="0" applyFont="1" applyFill="1" applyBorder="1" applyAlignment="1">
      <alignment horizontal="right" vertical="center" wrapText="1"/>
    </xf>
    <xf numFmtId="0" fontId="56" fillId="7" borderId="31" xfId="0" applyFont="1" applyFill="1" applyBorder="1" applyAlignment="1">
      <alignment vertical="center" wrapText="1"/>
    </xf>
    <xf numFmtId="0" fontId="56" fillId="7" borderId="33" xfId="0" applyFont="1" applyFill="1" applyBorder="1" applyAlignment="1">
      <alignment vertical="center" wrapText="1"/>
    </xf>
    <xf numFmtId="0" fontId="56" fillId="7" borderId="34" xfId="0" applyFont="1" applyFill="1" applyBorder="1" applyAlignment="1">
      <alignment vertical="center" wrapText="1"/>
    </xf>
    <xf numFmtId="0" fontId="56" fillId="7" borderId="31" xfId="0" applyFont="1" applyFill="1" applyBorder="1" applyAlignment="1">
      <alignment horizontal="right" vertical="center" wrapText="1"/>
    </xf>
    <xf numFmtId="0" fontId="56" fillId="7" borderId="33" xfId="0" applyFont="1" applyFill="1" applyBorder="1" applyAlignment="1">
      <alignment horizontal="right" vertical="center" wrapText="1"/>
    </xf>
    <xf numFmtId="0" fontId="56" fillId="7" borderId="34" xfId="0" applyFont="1" applyFill="1" applyBorder="1" applyAlignment="1">
      <alignment horizontal="right" vertical="center" wrapText="1"/>
    </xf>
    <xf numFmtId="0" fontId="56" fillId="0" borderId="41" xfId="0" applyFont="1" applyFill="1" applyBorder="1" applyAlignment="1">
      <alignment vertical="center" wrapText="1"/>
    </xf>
    <xf numFmtId="0" fontId="56" fillId="0" borderId="0" xfId="0" applyFont="1" applyFill="1" applyAlignment="1">
      <alignment vertical="center" wrapText="1"/>
    </xf>
    <xf numFmtId="0" fontId="56" fillId="0" borderId="36" xfId="0" applyFont="1" applyFill="1" applyBorder="1" applyAlignment="1">
      <alignment vertical="center" wrapText="1"/>
    </xf>
    <xf numFmtId="0" fontId="70" fillId="0" borderId="31" xfId="0" applyFont="1" applyFill="1" applyBorder="1" applyAlignment="1">
      <alignment horizontal="right" vertical="center"/>
    </xf>
    <xf numFmtId="0" fontId="70" fillId="0" borderId="33" xfId="0" applyFont="1" applyFill="1" applyBorder="1" applyAlignment="1">
      <alignment horizontal="right" vertical="center"/>
    </xf>
    <xf numFmtId="0" fontId="70" fillId="0" borderId="34" xfId="0" applyFont="1" applyFill="1" applyBorder="1" applyAlignment="1">
      <alignment horizontal="right" vertical="center"/>
    </xf>
    <xf numFmtId="0" fontId="69" fillId="4" borderId="35" xfId="0" applyFont="1" applyFill="1" applyBorder="1" applyAlignment="1">
      <alignment horizontal="center" vertical="center" wrapText="1"/>
    </xf>
    <xf numFmtId="0" fontId="69" fillId="4" borderId="0" xfId="0" applyFont="1" applyFill="1" applyAlignment="1">
      <alignment horizontal="center" vertical="center" wrapText="1"/>
    </xf>
    <xf numFmtId="0" fontId="69" fillId="4" borderId="36" xfId="0" applyFont="1" applyFill="1" applyBorder="1" applyAlignment="1">
      <alignment horizontal="center" vertical="center" wrapText="1"/>
    </xf>
    <xf numFmtId="0" fontId="54" fillId="0" borderId="30" xfId="0" applyFont="1" applyFill="1" applyBorder="1" applyAlignment="1">
      <alignment vertical="top"/>
    </xf>
    <xf numFmtId="0" fontId="52" fillId="4" borderId="33" xfId="0" applyFont="1" applyFill="1" applyBorder="1" applyAlignment="1">
      <alignment vertical="center"/>
    </xf>
    <xf numFmtId="0" fontId="52" fillId="4" borderId="34" xfId="0" applyFont="1" applyFill="1" applyBorder="1" applyAlignment="1">
      <alignment vertical="center"/>
    </xf>
    <xf numFmtId="0" fontId="56" fillId="4" borderId="31" xfId="0" applyFont="1" applyFill="1" applyBorder="1" applyAlignment="1">
      <alignment horizontal="right" vertical="center"/>
    </xf>
    <xf numFmtId="0" fontId="56" fillId="4" borderId="33" xfId="0" applyFont="1" applyFill="1" applyBorder="1" applyAlignment="1">
      <alignment horizontal="right" vertical="center"/>
    </xf>
    <xf numFmtId="0" fontId="56" fillId="4" borderId="34" xfId="0" applyFont="1" applyFill="1" applyBorder="1" applyAlignment="1">
      <alignment horizontal="right" vertical="center"/>
    </xf>
    <xf numFmtId="0" fontId="56" fillId="0" borderId="40" xfId="0" applyFont="1" applyFill="1" applyBorder="1" applyAlignment="1">
      <alignment vertical="center" wrapText="1"/>
    </xf>
    <xf numFmtId="0" fontId="56" fillId="0" borderId="37" xfId="0" applyFont="1" applyFill="1" applyBorder="1" applyAlignment="1">
      <alignment vertical="center" wrapText="1"/>
    </xf>
    <xf numFmtId="0" fontId="56" fillId="0" borderId="32" xfId="0" applyFont="1" applyFill="1" applyBorder="1" applyAlignment="1">
      <alignment vertical="center" wrapText="1"/>
    </xf>
    <xf numFmtId="0" fontId="56" fillId="0" borderId="40" xfId="0" applyFont="1" applyFill="1" applyBorder="1" applyAlignment="1">
      <alignment horizontal="right" vertical="center" wrapText="1"/>
    </xf>
    <xf numFmtId="0" fontId="56" fillId="0" borderId="32" xfId="0" applyFont="1" applyFill="1" applyBorder="1" applyAlignment="1">
      <alignment horizontal="right" vertical="center" wrapText="1"/>
    </xf>
    <xf numFmtId="0" fontId="56" fillId="0" borderId="37" xfId="0" applyFont="1" applyFill="1" applyBorder="1" applyAlignment="1">
      <alignment horizontal="right" vertical="center" wrapText="1"/>
    </xf>
    <xf numFmtId="0" fontId="56" fillId="0" borderId="41" xfId="0" applyFont="1" applyFill="1" applyBorder="1" applyAlignment="1">
      <alignment horizontal="right" vertical="center" wrapText="1"/>
    </xf>
    <xf numFmtId="0" fontId="56" fillId="0" borderId="36" xfId="0" applyFont="1" applyFill="1" applyBorder="1" applyAlignment="1">
      <alignment horizontal="right" vertical="center" wrapText="1"/>
    </xf>
    <xf numFmtId="0" fontId="56" fillId="0" borderId="0" xfId="0" applyFont="1" applyFill="1" applyAlignment="1">
      <alignment horizontal="right" vertical="center" wrapText="1"/>
    </xf>
    <xf numFmtId="0" fontId="56" fillId="0" borderId="42" xfId="0" applyFont="1" applyFill="1" applyBorder="1" applyAlignment="1">
      <alignment horizontal="right" vertical="center" wrapText="1"/>
    </xf>
    <xf numFmtId="0" fontId="56" fillId="0" borderId="30" xfId="0" applyFont="1" applyFill="1" applyBorder="1" applyAlignment="1">
      <alignment horizontal="right" vertical="center" wrapText="1"/>
    </xf>
    <xf numFmtId="0" fontId="56" fillId="0" borderId="39" xfId="0" applyFont="1" applyFill="1" applyBorder="1" applyAlignment="1">
      <alignment horizontal="right" vertical="center" wrapText="1"/>
    </xf>
    <xf numFmtId="0" fontId="52" fillId="4" borderId="40" xfId="0" applyFont="1" applyFill="1" applyBorder="1" applyAlignment="1">
      <alignment horizontal="center" vertical="center" wrapText="1"/>
    </xf>
    <xf numFmtId="0" fontId="52" fillId="4" borderId="35" xfId="0" applyFont="1" applyFill="1" applyBorder="1" applyAlignment="1">
      <alignment horizontal="center" vertical="center" wrapText="1"/>
    </xf>
    <xf numFmtId="0" fontId="52" fillId="4" borderId="36" xfId="0" applyFont="1" applyFill="1" applyBorder="1" applyAlignment="1">
      <alignment horizontal="center" vertical="center" wrapText="1"/>
    </xf>
    <xf numFmtId="0" fontId="56" fillId="0" borderId="35" xfId="0" applyFont="1" applyFill="1" applyBorder="1" applyAlignment="1">
      <alignment horizontal="right" vertical="center" wrapText="1"/>
    </xf>
    <xf numFmtId="0" fontId="56" fillId="0" borderId="35" xfId="0" applyFont="1" applyFill="1" applyBorder="1" applyAlignment="1">
      <alignment vertical="center" wrapText="1"/>
    </xf>
    <xf numFmtId="0" fontId="56" fillId="0" borderId="35" xfId="0" applyFont="1" applyFill="1" applyBorder="1" applyAlignment="1">
      <alignment horizontal="right" vertical="center"/>
    </xf>
    <xf numFmtId="0" fontId="56" fillId="4" borderId="41" xfId="0" applyFont="1" applyFill="1" applyBorder="1" applyAlignment="1">
      <alignment horizontal="right" vertical="center" wrapText="1"/>
    </xf>
    <xf numFmtId="0" fontId="56" fillId="4" borderId="30" xfId="0" applyFont="1" applyFill="1" applyBorder="1" applyAlignment="1">
      <alignment horizontal="right" vertical="center" wrapText="1"/>
    </xf>
    <xf numFmtId="0" fontId="56" fillId="4" borderId="39" xfId="0" applyFont="1" applyFill="1" applyBorder="1" applyAlignment="1">
      <alignment horizontal="right" vertical="center" wrapText="1"/>
    </xf>
    <xf numFmtId="0" fontId="56" fillId="4" borderId="43" xfId="0" applyFont="1" applyFill="1" applyBorder="1" applyAlignment="1">
      <alignment horizontal="right" vertical="center" wrapText="1"/>
    </xf>
    <xf numFmtId="0" fontId="56" fillId="4" borderId="37" xfId="0" applyFont="1" applyFill="1" applyBorder="1" applyAlignment="1">
      <alignment horizontal="right" vertical="center" wrapText="1"/>
    </xf>
    <xf numFmtId="0" fontId="56" fillId="4" borderId="32" xfId="0" applyFont="1" applyFill="1" applyBorder="1" applyAlignment="1">
      <alignment horizontal="right" vertical="center" wrapText="1"/>
    </xf>
    <xf numFmtId="0" fontId="52" fillId="4" borderId="0" xfId="0" applyFont="1" applyFill="1" applyAlignment="1">
      <alignment horizontal="center" vertical="center" wrapText="1"/>
    </xf>
    <xf numFmtId="0" fontId="56" fillId="0" borderId="38" xfId="0" applyFont="1" applyFill="1" applyBorder="1" applyAlignment="1">
      <alignment horizontal="right" vertical="center" wrapText="1"/>
    </xf>
    <xf numFmtId="0" fontId="56" fillId="0" borderId="43" xfId="0" applyFont="1" applyFill="1" applyBorder="1" applyAlignment="1">
      <alignment horizontal="right" vertical="center" wrapText="1"/>
    </xf>
    <xf numFmtId="0" fontId="56" fillId="7" borderId="37" xfId="0" applyFont="1" applyFill="1" applyBorder="1" applyAlignment="1">
      <alignment vertical="center" wrapText="1"/>
    </xf>
    <xf numFmtId="0" fontId="56" fillId="7" borderId="32" xfId="0" applyFont="1" applyFill="1" applyBorder="1" applyAlignment="1">
      <alignment vertical="center" wrapText="1"/>
    </xf>
    <xf numFmtId="0" fontId="56" fillId="7" borderId="38" xfId="0" applyFont="1" applyFill="1" applyBorder="1" applyAlignment="1">
      <alignment vertical="center" wrapText="1"/>
    </xf>
    <xf numFmtId="0" fontId="56" fillId="7" borderId="30" xfId="0" applyFont="1" applyFill="1" applyBorder="1" applyAlignment="1">
      <alignment vertical="center" wrapText="1"/>
    </xf>
    <xf numFmtId="0" fontId="56" fillId="7" borderId="39" xfId="0" applyFont="1" applyFill="1" applyBorder="1" applyAlignment="1">
      <alignment vertical="center" wrapText="1"/>
    </xf>
    <xf numFmtId="0" fontId="56" fillId="7" borderId="32" xfId="0" applyFont="1" applyFill="1" applyBorder="1" applyAlignment="1">
      <alignment horizontal="right" vertical="center"/>
    </xf>
    <xf numFmtId="0" fontId="56" fillId="7" borderId="38" xfId="0" applyFont="1" applyFill="1" applyBorder="1" applyAlignment="1">
      <alignment horizontal="right" vertical="center"/>
    </xf>
    <xf numFmtId="0" fontId="56" fillId="7" borderId="39" xfId="0" applyFont="1" applyFill="1" applyBorder="1" applyAlignment="1">
      <alignment horizontal="right" vertical="center"/>
    </xf>
    <xf numFmtId="0" fontId="56" fillId="7" borderId="37" xfId="0" applyFont="1" applyFill="1" applyBorder="1" applyAlignment="1">
      <alignment horizontal="right" vertical="center"/>
    </xf>
    <xf numFmtId="0" fontId="56" fillId="7" borderId="30" xfId="0" applyFont="1" applyFill="1" applyBorder="1" applyAlignment="1">
      <alignment horizontal="right" vertical="center"/>
    </xf>
    <xf numFmtId="0" fontId="56" fillId="7" borderId="37" xfId="0" applyFont="1" applyFill="1" applyBorder="1" applyAlignment="1">
      <alignment horizontal="right" vertical="center" wrapText="1"/>
    </xf>
    <xf numFmtId="0" fontId="56" fillId="7" borderId="32" xfId="0" applyFont="1" applyFill="1" applyBorder="1" applyAlignment="1">
      <alignment horizontal="right" vertical="center" wrapText="1"/>
    </xf>
    <xf numFmtId="0" fontId="56" fillId="7" borderId="38" xfId="0" applyFont="1" applyFill="1" applyBorder="1" applyAlignment="1">
      <alignment horizontal="right" vertical="center" wrapText="1"/>
    </xf>
    <xf numFmtId="0" fontId="56" fillId="7" borderId="30" xfId="0" applyFont="1" applyFill="1" applyBorder="1" applyAlignment="1">
      <alignment horizontal="right" vertical="center" wrapText="1"/>
    </xf>
    <xf numFmtId="0" fontId="56" fillId="7" borderId="39" xfId="0" applyFont="1" applyFill="1" applyBorder="1" applyAlignment="1">
      <alignment horizontal="right" vertical="center" wrapText="1"/>
    </xf>
    <xf numFmtId="0" fontId="56" fillId="0" borderId="38" xfId="0" applyFont="1" applyFill="1" applyBorder="1" applyAlignment="1">
      <alignment vertical="center" wrapText="1"/>
    </xf>
    <xf numFmtId="0" fontId="56" fillId="0" borderId="38" xfId="0" applyFont="1" applyFill="1" applyBorder="1" applyAlignment="1">
      <alignment horizontal="right" vertical="center"/>
    </xf>
    <xf numFmtId="0" fontId="56" fillId="7" borderId="41" xfId="0" applyFont="1" applyFill="1" applyBorder="1" applyAlignment="1">
      <alignment horizontal="right" vertical="center" wrapText="1"/>
    </xf>
    <xf numFmtId="0" fontId="56" fillId="7" borderId="43" xfId="0" applyFont="1" applyFill="1" applyBorder="1" applyAlignment="1">
      <alignment horizontal="right" vertical="center" wrapText="1"/>
    </xf>
    <xf numFmtId="0" fontId="56" fillId="0" borderId="31" xfId="0" applyFont="1" applyFill="1" applyBorder="1" applyAlignment="1">
      <alignment vertical="center" wrapText="1"/>
    </xf>
    <xf numFmtId="0" fontId="54" fillId="7" borderId="42" xfId="0" applyFont="1" applyFill="1" applyBorder="1" applyAlignment="1">
      <alignment vertical="top"/>
    </xf>
    <xf numFmtId="0" fontId="54" fillId="7" borderId="30" xfId="0" applyFont="1" applyFill="1" applyBorder="1" applyAlignment="1">
      <alignment vertical="top"/>
    </xf>
    <xf numFmtId="0" fontId="54" fillId="7" borderId="39" xfId="0" applyFont="1" applyFill="1" applyBorder="1" applyAlignment="1">
      <alignment vertical="top"/>
    </xf>
    <xf numFmtId="0" fontId="53" fillId="0" borderId="0" xfId="0" applyFont="1" applyFill="1" applyAlignment="1">
      <alignment wrapText="1"/>
    </xf>
    <xf numFmtId="0" fontId="48" fillId="3" borderId="10" xfId="0" applyNumberFormat="1" applyFont="1" applyFill="1" applyBorder="1" applyAlignment="1">
      <alignment horizontal="center"/>
    </xf>
    <xf numFmtId="0" fontId="48" fillId="3" borderId="13" xfId="0" applyNumberFormat="1" applyFont="1" applyFill="1" applyBorder="1" applyAlignment="1">
      <alignment horizontal="center"/>
    </xf>
    <xf numFmtId="0" fontId="71" fillId="3" borderId="16" xfId="0" applyNumberFormat="1" applyFont="1" applyFill="1" applyBorder="1" applyAlignment="1">
      <alignment horizontal="center"/>
    </xf>
    <xf numFmtId="0" fontId="71" fillId="3" borderId="9" xfId="0" applyNumberFormat="1" applyFont="1" applyFill="1" applyBorder="1" applyAlignment="1">
      <alignment horizontal="center"/>
    </xf>
    <xf numFmtId="0" fontId="71" fillId="3" borderId="10" xfId="0" applyNumberFormat="1" applyFont="1" applyFill="1" applyBorder="1" applyAlignment="1">
      <alignment horizontal="center"/>
    </xf>
    <xf numFmtId="0" fontId="71" fillId="0" borderId="0" xfId="0" applyNumberFormat="1" applyFont="1" applyAlignment="1">
      <alignment horizontal="left"/>
    </xf>
    <xf numFmtId="0" fontId="48" fillId="3" borderId="8" xfId="0" applyNumberFormat="1" applyFont="1" applyFill="1" applyBorder="1" applyAlignment="1">
      <alignment horizontal="center" vertical="center"/>
    </xf>
    <xf numFmtId="0" fontId="48" fillId="3" borderId="11" xfId="0" applyNumberFormat="1" applyFont="1" applyFill="1" applyBorder="1" applyAlignment="1">
      <alignment horizontal="center" vertical="center"/>
    </xf>
    <xf numFmtId="0" fontId="48" fillId="3" borderId="12" xfId="0" applyNumberFormat="1" applyFont="1" applyFill="1" applyBorder="1" applyAlignment="1">
      <alignment horizontal="center" vertical="center"/>
    </xf>
    <xf numFmtId="0" fontId="48" fillId="3" borderId="14" xfId="0" applyNumberFormat="1" applyFont="1" applyFill="1" applyBorder="1" applyAlignment="1">
      <alignment horizontal="center" vertical="center"/>
    </xf>
    <xf numFmtId="0" fontId="48" fillId="3" borderId="10" xfId="0" applyNumberFormat="1" applyFont="1" applyFill="1" applyBorder="1" applyAlignment="1">
      <alignment horizontal="center" vertical="center"/>
    </xf>
    <xf numFmtId="0" fontId="71" fillId="0" borderId="12" xfId="0" applyNumberFormat="1" applyFont="1" applyBorder="1" applyAlignment="1">
      <alignment horizontal="left"/>
    </xf>
    <xf numFmtId="0" fontId="71" fillId="0" borderId="8" xfId="0" applyNumberFormat="1" applyFont="1" applyBorder="1" applyAlignment="1">
      <alignment horizontal="left"/>
    </xf>
    <xf numFmtId="0" fontId="71" fillId="0" borderId="17" xfId="0" applyNumberFormat="1" applyFont="1" applyBorder="1" applyAlignment="1">
      <alignment horizontal="left"/>
    </xf>
    <xf numFmtId="0" fontId="0" fillId="0" borderId="17" xfId="0" applyBorder="1" applyAlignment="1"/>
    <xf numFmtId="0" fontId="48" fillId="3" borderId="17" xfId="0" applyNumberFormat="1" applyFont="1" applyFill="1" applyBorder="1" applyAlignment="1">
      <alignment horizontal="center"/>
    </xf>
    <xf numFmtId="0" fontId="48" fillId="3" borderId="12" xfId="0" applyNumberFormat="1" applyFont="1" applyFill="1" applyBorder="1" applyAlignment="1">
      <alignment horizontal="center"/>
    </xf>
    <xf numFmtId="0" fontId="71" fillId="0" borderId="17" xfId="0" applyNumberFormat="1" applyFont="1" applyBorder="1" applyAlignment="1">
      <alignment horizontal="left" wrapText="1"/>
    </xf>
    <xf numFmtId="0" fontId="71" fillId="0" borderId="12" xfId="0" applyNumberFormat="1" applyFont="1" applyBorder="1" applyAlignment="1">
      <alignment horizontal="left" wrapText="1"/>
    </xf>
    <xf numFmtId="0" fontId="71" fillId="3" borderId="12" xfId="0" applyNumberFormat="1" applyFont="1" applyFill="1" applyBorder="1" applyAlignment="1">
      <alignment horizontal="left"/>
    </xf>
    <xf numFmtId="0" fontId="71" fillId="3" borderId="8" xfId="0" applyNumberFormat="1" applyFont="1" applyFill="1" applyBorder="1" applyAlignment="1">
      <alignment horizontal="left"/>
    </xf>
    <xf numFmtId="0" fontId="71" fillId="0" borderId="3" xfId="0" applyNumberFormat="1" applyFont="1" applyBorder="1" applyAlignment="1">
      <alignment horizontal="left"/>
    </xf>
    <xf numFmtId="0" fontId="71" fillId="0" borderId="1" xfId="0" applyNumberFormat="1" applyFont="1" applyBorder="1" applyAlignment="1">
      <alignment horizontal="left"/>
    </xf>
    <xf numFmtId="0" fontId="48" fillId="0" borderId="0" xfId="0" applyNumberFormat="1" applyFont="1" applyAlignment="1">
      <alignment horizontal="left"/>
    </xf>
    <xf numFmtId="0" fontId="71" fillId="0" borderId="14" xfId="0" applyNumberFormat="1" applyFont="1" applyBorder="1" applyAlignment="1">
      <alignment horizontal="left"/>
    </xf>
    <xf numFmtId="0" fontId="71" fillId="0" borderId="0" xfId="0" applyNumberFormat="1" applyFont="1" applyAlignment="1">
      <alignment horizontal="left" wrapText="1"/>
    </xf>
    <xf numFmtId="0" fontId="71" fillId="0" borderId="14" xfId="0" applyNumberFormat="1" applyFont="1" applyBorder="1" applyAlignment="1">
      <alignment horizontal="left" wrapText="1"/>
    </xf>
    <xf numFmtId="0" fontId="2" fillId="3" borderId="26" xfId="0" applyNumberFormat="1" applyFont="1" applyFill="1" applyBorder="1" applyAlignment="1">
      <alignment horizontal="left"/>
    </xf>
    <xf numFmtId="0" fontId="2" fillId="3" borderId="22" xfId="0" applyNumberFormat="1" applyFont="1" applyFill="1" applyBorder="1" applyAlignment="1">
      <alignment horizontal="left"/>
    </xf>
    <xf numFmtId="0" fontId="2" fillId="8" borderId="0" xfId="0" applyNumberFormat="1" applyFont="1" applyFill="1" applyAlignment="1">
      <alignment horizontal="left"/>
    </xf>
    <xf numFmtId="0" fontId="2" fillId="8" borderId="23" xfId="0" applyNumberFormat="1" applyFont="1" applyFill="1" applyBorder="1" applyAlignment="1">
      <alignment horizontal="left"/>
    </xf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center"/>
    </xf>
    <xf numFmtId="0" fontId="2" fillId="8" borderId="26" xfId="0" applyNumberFormat="1" applyFont="1" applyFill="1" applyBorder="1" applyAlignment="1">
      <alignment horizontal="left"/>
    </xf>
    <xf numFmtId="0" fontId="2" fillId="8" borderId="22" xfId="0" applyNumberFormat="1" applyFont="1" applyFill="1" applyBorder="1" applyAlignment="1">
      <alignment horizontal="left"/>
    </xf>
    <xf numFmtId="0" fontId="2" fillId="8" borderId="26" xfId="0" applyNumberFormat="1" applyFont="1" applyFill="1" applyBorder="1" applyAlignment="1">
      <alignment horizontal="left" wrapText="1"/>
    </xf>
    <xf numFmtId="0" fontId="2" fillId="8" borderId="22" xfId="0" applyNumberFormat="1" applyFont="1" applyFill="1" applyBorder="1" applyAlignment="1">
      <alignment horizontal="left" wrapText="1"/>
    </xf>
    <xf numFmtId="0" fontId="2" fillId="8" borderId="6" xfId="0" applyNumberFormat="1" applyFont="1" applyFill="1" applyBorder="1" applyAlignment="1">
      <alignment horizontal="left"/>
    </xf>
    <xf numFmtId="0" fontId="2" fillId="8" borderId="7" xfId="0" applyNumberFormat="1" applyFont="1" applyFill="1" applyBorder="1" applyAlignment="1">
      <alignment horizontal="left"/>
    </xf>
    <xf numFmtId="0" fontId="55" fillId="4" borderId="41" xfId="0" applyFont="1" applyFill="1" applyBorder="1" applyAlignment="1">
      <alignment horizontal="center" vertical="center"/>
    </xf>
    <xf numFmtId="0" fontId="55" fillId="4" borderId="42" xfId="0" applyFont="1" applyFill="1" applyBorder="1" applyAlignment="1">
      <alignment horizontal="center" vertical="center"/>
    </xf>
    <xf numFmtId="0" fontId="52" fillId="4" borderId="41" xfId="0" applyFont="1" applyFill="1" applyBorder="1" applyAlignment="1">
      <alignment horizontal="center" vertical="center" wrapText="1"/>
    </xf>
    <xf numFmtId="0" fontId="52" fillId="4" borderId="42" xfId="0" applyFont="1" applyFill="1" applyBorder="1" applyAlignment="1">
      <alignment horizontal="center" vertical="center" wrapText="1"/>
    </xf>
    <xf numFmtId="0" fontId="52" fillId="0" borderId="31" xfId="0" applyFont="1" applyFill="1" applyBorder="1" applyAlignment="1">
      <alignment horizontal="right" vertical="center"/>
    </xf>
    <xf numFmtId="0" fontId="52" fillId="0" borderId="33" xfId="0" applyFont="1" applyFill="1" applyBorder="1" applyAlignment="1">
      <alignment horizontal="right" vertical="center"/>
    </xf>
    <xf numFmtId="0" fontId="52" fillId="0" borderId="34" xfId="0" applyFont="1" applyFill="1" applyBorder="1" applyAlignment="1">
      <alignment horizontal="right" vertical="center"/>
    </xf>
    <xf numFmtId="0" fontId="53" fillId="0" borderId="40" xfId="0" applyFont="1" applyFill="1" applyBorder="1" applyAlignment="1">
      <alignment horizontal="right" vertical="center"/>
    </xf>
    <xf numFmtId="0" fontId="53" fillId="0" borderId="37" xfId="0" applyFont="1" applyFill="1" applyBorder="1" applyAlignment="1">
      <alignment horizontal="right" vertical="center"/>
    </xf>
    <xf numFmtId="0" fontId="53" fillId="0" borderId="32" xfId="0" applyFont="1" applyFill="1" applyBorder="1" applyAlignment="1">
      <alignment horizontal="right" vertical="center"/>
    </xf>
    <xf numFmtId="0" fontId="3" fillId="3" borderId="8" xfId="0" applyNumberFormat="1" applyFont="1" applyFill="1" applyBorder="1" applyAlignment="1">
      <alignment horizontal="center"/>
    </xf>
    <xf numFmtId="0" fontId="3" fillId="3" borderId="11" xfId="0" applyNumberFormat="1" applyFont="1" applyFill="1" applyBorder="1" applyAlignment="1">
      <alignment horizontal="center"/>
    </xf>
    <xf numFmtId="0" fontId="2" fillId="0" borderId="17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18" xfId="0" applyNumberFormat="1" applyFont="1" applyBorder="1" applyAlignment="1">
      <alignment horizontal="left"/>
    </xf>
    <xf numFmtId="165" fontId="2" fillId="0" borderId="1" xfId="0" applyNumberFormat="1" applyFont="1" applyBorder="1" applyAlignment="1">
      <alignment horizontal="center"/>
    </xf>
    <xf numFmtId="10" fontId="2" fillId="0" borderId="11" xfId="2" applyNumberFormat="1" applyFont="1" applyBorder="1" applyAlignment="1">
      <alignment horizontal="right"/>
    </xf>
    <xf numFmtId="43" fontId="2" fillId="0" borderId="11" xfId="1" applyFont="1" applyBorder="1" applyAlignment="1">
      <alignment horizontal="right"/>
    </xf>
    <xf numFmtId="43" fontId="2" fillId="0" borderId="15" xfId="1" applyFont="1" applyBorder="1" applyAlignment="1">
      <alignment horizontal="right"/>
    </xf>
    <xf numFmtId="10" fontId="2" fillId="0" borderId="13" xfId="0" applyNumberFormat="1" applyFont="1" applyBorder="1" applyAlignment="1">
      <alignment horizontal="center"/>
    </xf>
    <xf numFmtId="10" fontId="2" fillId="0" borderId="15" xfId="2" applyNumberFormat="1" applyFont="1" applyBorder="1" applyAlignment="1">
      <alignment horizontal="center"/>
    </xf>
    <xf numFmtId="0" fontId="61" fillId="0" borderId="0" xfId="0" applyFont="1" applyFill="1" applyAlignment="1">
      <alignment horizontal="right" vertical="top" wrapText="1"/>
    </xf>
    <xf numFmtId="0" fontId="72" fillId="4" borderId="31" xfId="0" applyFont="1" applyFill="1" applyBorder="1" applyAlignment="1">
      <alignment horizontal="center" vertical="center"/>
    </xf>
    <xf numFmtId="0" fontId="59" fillId="4" borderId="32" xfId="0" applyFont="1" applyFill="1" applyBorder="1" applyAlignment="1">
      <alignment horizontal="center" vertical="center" wrapText="1"/>
    </xf>
    <xf numFmtId="0" fontId="72" fillId="4" borderId="42" xfId="0" applyFont="1" applyFill="1" applyBorder="1" applyAlignment="1">
      <alignment horizontal="center" vertical="center"/>
    </xf>
    <xf numFmtId="0" fontId="59" fillId="4" borderId="38" xfId="0" applyFont="1" applyFill="1" applyBorder="1" applyAlignment="1">
      <alignment horizontal="center" vertical="center" wrapText="1"/>
    </xf>
    <xf numFmtId="0" fontId="59" fillId="4" borderId="39" xfId="0" applyFont="1" applyFill="1" applyBorder="1" applyAlignment="1">
      <alignment horizontal="center" vertical="center" wrapText="1"/>
    </xf>
    <xf numFmtId="0" fontId="59" fillId="4" borderId="42" xfId="0" applyFont="1" applyFill="1" applyBorder="1" applyAlignment="1">
      <alignment horizontal="center" vertical="center" wrapText="1"/>
    </xf>
    <xf numFmtId="0" fontId="58" fillId="0" borderId="37" xfId="0" applyFont="1" applyFill="1" applyBorder="1"/>
    <xf numFmtId="0" fontId="58" fillId="5" borderId="31" xfId="0" applyFont="1" applyFill="1" applyBorder="1" applyAlignment="1">
      <alignment vertical="center"/>
    </xf>
    <xf numFmtId="4" fontId="58" fillId="5" borderId="31" xfId="0" applyNumberFormat="1" applyFont="1" applyFill="1" applyBorder="1" applyAlignment="1">
      <alignment horizontal="right" vertical="center"/>
    </xf>
    <xf numFmtId="4" fontId="58" fillId="5" borderId="34" xfId="0" applyNumberFormat="1" applyFont="1" applyFill="1" applyBorder="1" applyAlignment="1">
      <alignment horizontal="right" vertical="center"/>
    </xf>
    <xf numFmtId="0" fontId="58" fillId="5" borderId="31" xfId="0" applyFont="1" applyFill="1" applyBorder="1" applyAlignment="1">
      <alignment horizontal="right" vertical="center"/>
    </xf>
    <xf numFmtId="0" fontId="58" fillId="5" borderId="31" xfId="0" applyFont="1" applyFill="1" applyBorder="1" applyAlignment="1">
      <alignment horizontal="right" vertical="center"/>
    </xf>
    <xf numFmtId="0" fontId="58" fillId="5" borderId="33" xfId="0" applyFont="1" applyFill="1" applyBorder="1" applyAlignment="1">
      <alignment horizontal="right" vertical="center"/>
    </xf>
    <xf numFmtId="0" fontId="58" fillId="5" borderId="34" xfId="0" applyFont="1" applyFill="1" applyBorder="1" applyAlignment="1">
      <alignment horizontal="right" vertical="center"/>
    </xf>
    <xf numFmtId="4" fontId="58" fillId="5" borderId="31" xfId="0" applyNumberFormat="1" applyFont="1" applyFill="1" applyBorder="1" applyAlignment="1">
      <alignment horizontal="right" vertical="center"/>
    </xf>
    <xf numFmtId="4" fontId="58" fillId="5" borderId="33" xfId="0" applyNumberFormat="1" applyFont="1" applyFill="1" applyBorder="1" applyAlignment="1">
      <alignment horizontal="right" vertical="center"/>
    </xf>
    <xf numFmtId="0" fontId="60" fillId="0" borderId="37" xfId="0" applyFont="1" applyFill="1" applyBorder="1" applyAlignment="1">
      <alignment vertical="top"/>
    </xf>
    <xf numFmtId="0" fontId="59" fillId="4" borderId="37" xfId="0" applyFont="1" applyFill="1" applyBorder="1" applyAlignment="1">
      <alignment horizontal="center" vertical="center" wrapText="1"/>
    </xf>
    <xf numFmtId="0" fontId="59" fillId="4" borderId="30" xfId="0" applyFont="1" applyFill="1" applyBorder="1" applyAlignment="1">
      <alignment horizontal="center" vertical="center" wrapText="1"/>
    </xf>
    <xf numFmtId="0" fontId="60" fillId="0" borderId="35" xfId="0" applyFont="1" applyFill="1" applyBorder="1" applyAlignment="1">
      <alignment vertical="top"/>
    </xf>
    <xf numFmtId="43" fontId="2" fillId="0" borderId="10" xfId="1" applyFont="1" applyBorder="1"/>
    <xf numFmtId="0" fontId="2" fillId="0" borderId="0" xfId="0" applyNumberFormat="1" applyFont="1" applyFill="1" applyBorder="1" applyAlignment="1">
      <alignment horizontal="left"/>
    </xf>
    <xf numFmtId="0" fontId="2" fillId="0" borderId="0" xfId="0" applyFont="1" applyBorder="1"/>
    <xf numFmtId="0" fontId="71" fillId="0" borderId="0" xfId="0" applyFont="1"/>
    <xf numFmtId="0" fontId="48" fillId="0" borderId="0" xfId="0" applyFont="1"/>
    <xf numFmtId="0" fontId="5" fillId="0" borderId="14" xfId="0" applyNumberFormat="1" applyFont="1" applyFill="1" applyBorder="1" applyAlignment="1">
      <alignment horizontal="left"/>
    </xf>
  </cellXfs>
  <cellStyles count="6">
    <cellStyle name="Normal" xfId="0" builtinId="0"/>
    <cellStyle name="Normal 6" xfId="3"/>
    <cellStyle name="Porcentagem" xfId="2" builtinId="5"/>
    <cellStyle name="Porcentagem 3" xfId="4"/>
    <cellStyle name="Separador de milhares" xfId="1" builtinId="3"/>
    <cellStyle name="Vírgula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 sz="1950" b="1" i="0" u="none" strike="noStrike" baseline="0"/>
              <a:t>Novem</a:t>
            </a:r>
            <a:r>
              <a:rPr lang="pt-BR"/>
              <a:t>bro de 2020 a Outu</a:t>
            </a:r>
            <a:r>
              <a:rPr lang="pt-BR" sz="1950" b="1" i="0" u="none" strike="noStrike" baseline="0"/>
              <a:t>bro</a:t>
            </a:r>
            <a:r>
              <a:rPr lang="pt-BR"/>
              <a:t> de 2021</a:t>
            </a:r>
          </a:p>
        </c:rich>
      </c:tx>
      <c:layout>
        <c:manualLayout>
          <c:xMode val="edge"/>
          <c:yMode val="edge"/>
          <c:x val="0.29021563793887739"/>
          <c:y val="4.95011964564034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4478047796284399"/>
          <c:y val="0.17138589988039463"/>
          <c:w val="0.85117366903648162"/>
          <c:h val="0.57263216759063251"/>
        </c:manualLayout>
      </c:layout>
      <c:lineChart>
        <c:grouping val="standard"/>
        <c:ser>
          <c:idx val="0"/>
          <c:order val="0"/>
          <c:tx>
            <c:v>Realizado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DCLP_RCL!$D$8:$O$8</c:f>
              <c:numCache>
                <c:formatCode>0.00%</c:formatCode>
                <c:ptCount val="12"/>
                <c:pt idx="0">
                  <c:v>0.56106962547492556</c:v>
                </c:pt>
                <c:pt idx="1">
                  <c:v>0.67295882767704041</c:v>
                </c:pt>
                <c:pt idx="2">
                  <c:v>0.581067594674195</c:v>
                </c:pt>
                <c:pt idx="3">
                  <c:v>0.46914219126319973</c:v>
                </c:pt>
                <c:pt idx="4">
                  <c:v>0.64465254303886488</c:v>
                </c:pt>
                <c:pt idx="5">
                  <c:v>0.60655461737045346</c:v>
                </c:pt>
                <c:pt idx="6">
                  <c:v>0.59111697993831103</c:v>
                </c:pt>
                <c:pt idx="7">
                  <c:v>0.65472920845800764</c:v>
                </c:pt>
                <c:pt idx="8">
                  <c:v>0.65837406641252882</c:v>
                </c:pt>
                <c:pt idx="9">
                  <c:v>0.54263162914676544</c:v>
                </c:pt>
                <c:pt idx="10">
                  <c:v>0.7459519933307458</c:v>
                </c:pt>
                <c:pt idx="11">
                  <c:v>0.54049502859985366</c:v>
                </c:pt>
              </c:numCache>
            </c:numRef>
          </c:val>
        </c:ser>
        <c:ser>
          <c:idx val="1"/>
          <c:order val="1"/>
          <c:tx>
            <c:v>Limite: 54,00%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[1]Plan1!$D$9:$O$9</c:f>
              <c:numCache>
                <c:formatCode>General</c:formatCode>
                <c:ptCount val="12"/>
                <c:pt idx="0">
                  <c:v>0.54</c:v>
                </c:pt>
                <c:pt idx="1">
                  <c:v>0.54</c:v>
                </c:pt>
                <c:pt idx="2">
                  <c:v>0.54</c:v>
                </c:pt>
                <c:pt idx="3">
                  <c:v>0.54</c:v>
                </c:pt>
                <c:pt idx="4">
                  <c:v>0.54</c:v>
                </c:pt>
                <c:pt idx="5">
                  <c:v>0.54</c:v>
                </c:pt>
                <c:pt idx="6">
                  <c:v>0.54</c:v>
                </c:pt>
                <c:pt idx="7">
                  <c:v>0.54</c:v>
                </c:pt>
                <c:pt idx="8">
                  <c:v>0.54</c:v>
                </c:pt>
                <c:pt idx="9">
                  <c:v>0.54</c:v>
                </c:pt>
                <c:pt idx="10">
                  <c:v>0.54</c:v>
                </c:pt>
                <c:pt idx="11">
                  <c:v>0.54</c:v>
                </c:pt>
              </c:numCache>
            </c:numRef>
          </c:val>
        </c:ser>
        <c:marker val="1"/>
        <c:axId val="89359104"/>
        <c:axId val="89361792"/>
      </c:lineChart>
      <c:catAx>
        <c:axId val="893591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6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Meses</a:t>
                </a:r>
              </a:p>
            </c:rich>
          </c:tx>
          <c:layout>
            <c:manualLayout>
              <c:xMode val="edge"/>
              <c:yMode val="edge"/>
              <c:x val="0.51061638571773005"/>
              <c:y val="0.8884218942830887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6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9361792"/>
        <c:crosses val="autoZero"/>
        <c:auto val="1"/>
        <c:lblAlgn val="ctr"/>
        <c:lblOffset val="100"/>
        <c:tickLblSkip val="1"/>
        <c:tickMarkSkip val="1"/>
      </c:catAx>
      <c:valAx>
        <c:axId val="8936179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1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Despesa Líquida com Pessoal</a:t>
                </a:r>
              </a:p>
            </c:rich>
          </c:tx>
          <c:layout>
            <c:manualLayout>
              <c:xMode val="edge"/>
              <c:yMode val="edge"/>
              <c:x val="1.6985323643055533E-2"/>
              <c:y val="0.24631613101342736"/>
            </c:manualLayout>
          </c:layout>
          <c:spPr>
            <a:noFill/>
            <a:ln w="25400">
              <a:noFill/>
            </a:ln>
          </c:spPr>
        </c:title>
        <c:numFmt formatCode="0.00%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93591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82683005049901315"/>
          <c:y val="2.9473501242808224E-2"/>
          <c:w val="0.13375806747560814"/>
          <c:h val="9.0526498757194013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1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6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443" footer="0.49212598500000443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[2]CRUZ!$J$102:$J$117</c:f>
              <c:numCache>
                <c:formatCode>General</c:formatCode>
                <c:ptCount val="16"/>
                <c:pt idx="0">
                  <c:v>59301.533333333209</c:v>
                </c:pt>
                <c:pt idx="1">
                  <c:v>-28113.66333333333</c:v>
                </c:pt>
                <c:pt idx="2">
                  <c:v>-8269.1199999999953</c:v>
                </c:pt>
                <c:pt idx="3">
                  <c:v>5654.826666666675</c:v>
                </c:pt>
                <c:pt idx="4">
                  <c:v>-70756.576666666893</c:v>
                </c:pt>
                <c:pt idx="5">
                  <c:v>13654.580000000016</c:v>
                </c:pt>
                <c:pt idx="6">
                  <c:v>78357.869999999966</c:v>
                </c:pt>
                <c:pt idx="7">
                  <c:v>-182954.47666666657</c:v>
                </c:pt>
                <c:pt idx="8">
                  <c:v>-129513.63666666579</c:v>
                </c:pt>
                <c:pt idx="9">
                  <c:v>88479.670000000391</c:v>
                </c:pt>
                <c:pt idx="10">
                  <c:v>80146.053333333286</c:v>
                </c:pt>
                <c:pt idx="11">
                  <c:v>104245.48333333328</c:v>
                </c:pt>
                <c:pt idx="12">
                  <c:v>7241.7066666666651</c:v>
                </c:pt>
                <c:pt idx="13">
                  <c:v>35295.373333333329</c:v>
                </c:pt>
                <c:pt idx="14">
                  <c:v>217853.67333333334</c:v>
                </c:pt>
                <c:pt idx="15">
                  <c:v>-176204.25333333411</c:v>
                </c:pt>
              </c:numCache>
            </c:numRef>
          </c:val>
        </c:ser>
        <c:axId val="109871488"/>
        <c:axId val="109873024"/>
      </c:barChart>
      <c:catAx>
        <c:axId val="109871488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9873024"/>
        <c:crosses val="autoZero"/>
        <c:auto val="1"/>
        <c:lblAlgn val="ctr"/>
        <c:lblOffset val="100"/>
        <c:tickLblSkip val="1"/>
        <c:tickMarkSkip val="1"/>
      </c:catAx>
      <c:valAx>
        <c:axId val="10987302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9871488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3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454" footer="0.4921259850000045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3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Termômetro de Cruz</a:t>
            </a:r>
          </a:p>
        </c:rich>
      </c:tx>
      <c:spPr>
        <a:noFill/>
        <a:ln w="25400">
          <a:noFill/>
        </a:ln>
      </c:spPr>
    </c:title>
    <c:plotArea>
      <c:layout/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[2]CRUZ!$J$192:$J$207</c:f>
              <c:numCache>
                <c:formatCode>General</c:formatCode>
                <c:ptCount val="16"/>
                <c:pt idx="0">
                  <c:v>67808.04999999993</c:v>
                </c:pt>
                <c:pt idx="1">
                  <c:v>18918.219999999972</c:v>
                </c:pt>
                <c:pt idx="2">
                  <c:v>9857.5100000000093</c:v>
                </c:pt>
                <c:pt idx="3">
                  <c:v>1006.5599999999977</c:v>
                </c:pt>
                <c:pt idx="4">
                  <c:v>249769.87999999989</c:v>
                </c:pt>
                <c:pt idx="5">
                  <c:v>29268.719999999972</c:v>
                </c:pt>
                <c:pt idx="6">
                  <c:v>13008.560000000056</c:v>
                </c:pt>
                <c:pt idx="7">
                  <c:v>101946.72999999998</c:v>
                </c:pt>
                <c:pt idx="8">
                  <c:v>533680.19999999925</c:v>
                </c:pt>
                <c:pt idx="9">
                  <c:v>378077.09999999963</c:v>
                </c:pt>
                <c:pt idx="10">
                  <c:v>35528.70000000007</c:v>
                </c:pt>
                <c:pt idx="11">
                  <c:v>60700.789999999804</c:v>
                </c:pt>
                <c:pt idx="12">
                  <c:v>23912.360000000102</c:v>
                </c:pt>
                <c:pt idx="13">
                  <c:v>7234.86</c:v>
                </c:pt>
                <c:pt idx="14">
                  <c:v>222838.98999999976</c:v>
                </c:pt>
                <c:pt idx="15">
                  <c:v>-676947.98000000138</c:v>
                </c:pt>
              </c:numCache>
            </c:numRef>
          </c:val>
        </c:ser>
        <c:axId val="109897216"/>
        <c:axId val="109898752"/>
      </c:barChart>
      <c:catAx>
        <c:axId val="109897216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9898752"/>
        <c:crosses val="autoZero"/>
        <c:auto val="1"/>
        <c:lblAlgn val="ctr"/>
        <c:lblOffset val="100"/>
        <c:tickLblSkip val="1"/>
        <c:tickMarkSkip val="1"/>
      </c:catAx>
      <c:valAx>
        <c:axId val="10989875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9897216"/>
        <c:crosses val="autoZero"/>
        <c:crossBetween val="between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t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454" footer="0.49212598500000454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Termometro de Cruz</a:t>
            </a:r>
          </a:p>
        </c:rich>
      </c:tx>
      <c:layout>
        <c:manualLayout>
          <c:xMode val="edge"/>
          <c:yMode val="edge"/>
          <c:x val="0.38213951629748732"/>
          <c:y val="2.8571514767550609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2980283152707991"/>
          <c:y val="0.22285755739873017"/>
          <c:w val="0.82866127646889154"/>
          <c:h val="0.72952516652746768"/>
        </c:manualLayout>
      </c:layout>
      <c:barChart>
        <c:barDir val="col"/>
        <c:grouping val="clustered"/>
        <c:ser>
          <c:idx val="0"/>
          <c:order val="0"/>
          <c:tx>
            <c:v>Resultado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Cruz!$K$11:$K$26</c:f>
              <c:numCache>
                <c:formatCode>_ * #,##0.00_ ;_ * \-#,##0.00_ ;_ * "-"??_ ;_ @_ </c:formatCode>
                <c:ptCount val="16"/>
                <c:pt idx="0">
                  <c:v>20.771066793984254</c:v>
                </c:pt>
                <c:pt idx="1">
                  <c:v>7.5777218266540896</c:v>
                </c:pt>
                <c:pt idx="2">
                  <c:v>44.065957062125278</c:v>
                </c:pt>
                <c:pt idx="3">
                  <c:v>8.9457653103508274</c:v>
                </c:pt>
                <c:pt idx="4">
                  <c:v>-7.0307759391006197</c:v>
                </c:pt>
                <c:pt idx="5">
                  <c:v>11.605569561870183</c:v>
                </c:pt>
                <c:pt idx="6">
                  <c:v>26.882642648997194</c:v>
                </c:pt>
                <c:pt idx="7">
                  <c:v>7.5548994754678684</c:v>
                </c:pt>
                <c:pt idx="8">
                  <c:v>13.137529290906514</c:v>
                </c:pt>
                <c:pt idx="9">
                  <c:v>-8.9135159881667434</c:v>
                </c:pt>
                <c:pt idx="10">
                  <c:v>4.0042005104275296</c:v>
                </c:pt>
                <c:pt idx="11">
                  <c:v>11.65438691854604</c:v>
                </c:pt>
                <c:pt idx="12">
                  <c:v>0.46696946801501421</c:v>
                </c:pt>
                <c:pt idx="13">
                  <c:v>100</c:v>
                </c:pt>
                <c:pt idx="14">
                  <c:v>10.058977002536054</c:v>
                </c:pt>
                <c:pt idx="15">
                  <c:v>-47.427197027163992</c:v>
                </c:pt>
              </c:numCache>
            </c:numRef>
          </c:val>
        </c:ser>
        <c:axId val="109656704"/>
        <c:axId val="109674880"/>
      </c:barChart>
      <c:catAx>
        <c:axId val="109656704"/>
        <c:scaling>
          <c:orientation val="minMax"/>
        </c:scaling>
        <c:axPos val="b"/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9674880"/>
        <c:crosses val="autoZero"/>
        <c:auto val="1"/>
        <c:lblAlgn val="ctr"/>
        <c:lblOffset val="100"/>
        <c:tickLblSkip val="1"/>
        <c:tickMarkSkip val="1"/>
      </c:catAx>
      <c:valAx>
        <c:axId val="10967488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 * #,##0.00_ ;_ * \-#,##0.00_ ;_ * &quot;-&quot;??_ ;_ @_ 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109656704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t"/>
      <c:layout>
        <c:manualLayout>
          <c:xMode val="edge"/>
          <c:yMode val="edge"/>
          <c:x val="0.73208802186923849"/>
          <c:y val="3.0476161744149802E-2"/>
          <c:w val="0.15057116130379897"/>
          <c:h val="6.8571715891835361E-2"/>
        </c:manualLayout>
      </c:layout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t-BR"/>
        </a:p>
      </c:txPr>
    </c:legend>
    <c:plotVisOnly val="1"/>
    <c:dispBlanksAs val="gap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0454" footer="0.49212598500000454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14</xdr:col>
      <xdr:colOff>527050</xdr:colOff>
      <xdr:row>51</xdr:row>
      <xdr:rowOff>58737</xdr:rowOff>
    </xdr:to>
    <xdr:graphicFrame macro="">
      <xdr:nvGraphicFramePr>
        <xdr:cNvPr id="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0.31075</cdr:x>
      <cdr:y>0.27023</cdr:y>
    </cdr:from>
    <cdr:to>
      <cdr:x>0.36863</cdr:x>
      <cdr:y>0.33068</cdr:y>
    </cdr:to>
    <cdr:sp macro="" textlink="">
      <cdr:nvSpPr>
        <cdr:cNvPr id="2049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792124" y="1148423"/>
          <a:ext cx="520066" cy="256897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Ago/21</a:t>
          </a:r>
        </a:p>
      </cdr:txBody>
    </cdr:sp>
  </cdr:relSizeAnchor>
  <cdr:relSizeAnchor xmlns:cdr="http://schemas.openxmlformats.org/drawingml/2006/chartDrawing">
    <cdr:from>
      <cdr:x>0.14811</cdr:x>
      <cdr:y>0.26554</cdr:y>
    </cdr:from>
    <cdr:to>
      <cdr:x>0.20673</cdr:x>
      <cdr:y>0.32672</cdr:y>
    </cdr:to>
    <cdr:sp macro="" textlink="">
      <cdr:nvSpPr>
        <cdr:cNvPr id="2050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1330806" y="1128471"/>
          <a:ext cx="526715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Out/21</a:t>
          </a:r>
        </a:p>
      </cdr:txBody>
    </cdr:sp>
  </cdr:relSizeAnchor>
  <cdr:relSizeAnchor xmlns:cdr="http://schemas.openxmlformats.org/drawingml/2006/chartDrawing">
    <cdr:from>
      <cdr:x>0.93053</cdr:x>
      <cdr:y>0.36801</cdr:y>
    </cdr:from>
    <cdr:to>
      <cdr:x>0.98841</cdr:x>
      <cdr:y>0.43018</cdr:y>
    </cdr:to>
    <cdr:sp macro="" textlink="">
      <cdr:nvSpPr>
        <cdr:cNvPr id="2051" name="Text Box 3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8361002" y="1563951"/>
          <a:ext cx="520067" cy="26420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Nov/20</a:t>
          </a:r>
        </a:p>
      </cdr:txBody>
    </cdr:sp>
  </cdr:relSizeAnchor>
  <cdr:relSizeAnchor xmlns:cdr="http://schemas.openxmlformats.org/drawingml/2006/chartDrawing">
    <cdr:from>
      <cdr:x>0.50535</cdr:x>
      <cdr:y>0.26002</cdr:y>
    </cdr:from>
    <cdr:to>
      <cdr:x>0.56299</cdr:x>
      <cdr:y>0.32121</cdr:y>
    </cdr:to>
    <cdr:sp macro="" textlink="">
      <cdr:nvSpPr>
        <cdr:cNvPr id="2052" name="Text Box 4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4540741" y="1105028"/>
          <a:ext cx="517820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Mai/21</a:t>
          </a:r>
        </a:p>
      </cdr:txBody>
    </cdr:sp>
  </cdr:relSizeAnchor>
  <cdr:relSizeAnchor xmlns:cdr="http://schemas.openxmlformats.org/drawingml/2006/chartDrawing">
    <cdr:from>
      <cdr:x>0.43749</cdr:x>
      <cdr:y>0.22827</cdr:y>
    </cdr:from>
    <cdr:to>
      <cdr:x>0.49463</cdr:x>
      <cdr:y>0.28921</cdr:y>
    </cdr:to>
    <cdr:sp macro="" textlink="">
      <cdr:nvSpPr>
        <cdr:cNvPr id="2053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930918" y="970087"/>
          <a:ext cx="513417" cy="25897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Jun/21</a:t>
          </a:r>
        </a:p>
      </cdr:txBody>
    </cdr:sp>
  </cdr:relSizeAnchor>
  <cdr:relSizeAnchor xmlns:cdr="http://schemas.openxmlformats.org/drawingml/2006/chartDrawing">
    <cdr:from>
      <cdr:x>0.5731</cdr:x>
      <cdr:y>0.25951</cdr:y>
    </cdr:from>
    <cdr:to>
      <cdr:x>0.63172</cdr:x>
      <cdr:y>0.32069</cdr:y>
    </cdr:to>
    <cdr:sp macro="" textlink="">
      <cdr:nvSpPr>
        <cdr:cNvPr id="2054" name="Text Box 6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149487" y="1102832"/>
          <a:ext cx="526715" cy="25999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Abr/21</a:t>
          </a:r>
        </a:p>
      </cdr:txBody>
    </cdr:sp>
  </cdr:relSizeAnchor>
  <cdr:relSizeAnchor xmlns:cdr="http://schemas.openxmlformats.org/drawingml/2006/chartDrawing">
    <cdr:from>
      <cdr:x>0.64955</cdr:x>
      <cdr:y>0.22667</cdr:y>
    </cdr:from>
    <cdr:to>
      <cdr:x>0.70817</cdr:x>
      <cdr:y>0.28786</cdr:y>
    </cdr:to>
    <cdr:sp macro="" textlink="">
      <cdr:nvSpPr>
        <cdr:cNvPr id="2055" name="Text Box 7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6412" y="963277"/>
          <a:ext cx="526716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Mar/21</a:t>
          </a:r>
        </a:p>
      </cdr:txBody>
    </cdr:sp>
  </cdr:relSizeAnchor>
  <cdr:relSizeAnchor xmlns:cdr="http://schemas.openxmlformats.org/drawingml/2006/chartDrawing">
    <cdr:from>
      <cdr:x>0.86245</cdr:x>
      <cdr:y>0.16125</cdr:y>
    </cdr:from>
    <cdr:to>
      <cdr:x>0.91958</cdr:x>
      <cdr:y>0.22243</cdr:y>
    </cdr:to>
    <cdr:sp macro="" textlink="">
      <cdr:nvSpPr>
        <cdr:cNvPr id="2056" name="Text Box 8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749372" y="685265"/>
          <a:ext cx="513327" cy="25999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Dez/20</a:t>
          </a:r>
        </a:p>
      </cdr:txBody>
    </cdr:sp>
  </cdr:relSizeAnchor>
  <cdr:relSizeAnchor xmlns:cdr="http://schemas.openxmlformats.org/drawingml/2006/chartDrawing">
    <cdr:from>
      <cdr:x>0.79042</cdr:x>
      <cdr:y>0.37389</cdr:y>
    </cdr:from>
    <cdr:to>
      <cdr:x>0.8483</cdr:x>
      <cdr:y>0.43508</cdr:y>
    </cdr:to>
    <cdr:sp macro="" textlink="">
      <cdr:nvSpPr>
        <cdr:cNvPr id="2057" name="Text Box 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7102162" y="1588940"/>
          <a:ext cx="520066" cy="260041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Jan/21</a:t>
          </a:r>
        </a:p>
      </cdr:txBody>
    </cdr:sp>
  </cdr:relSizeAnchor>
  <cdr:relSizeAnchor xmlns:cdr="http://schemas.openxmlformats.org/drawingml/2006/chartDrawing">
    <cdr:from>
      <cdr:x>0.72157</cdr:x>
      <cdr:y>0.22926</cdr:y>
    </cdr:from>
    <cdr:to>
      <cdr:x>0.77945</cdr:x>
      <cdr:y>0.28923</cdr:y>
    </cdr:to>
    <cdr:sp macro="" textlink="">
      <cdr:nvSpPr>
        <cdr:cNvPr id="2058" name="Text Box 10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6483528" y="974295"/>
          <a:ext cx="520066" cy="25485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Fev/21</a:t>
          </a:r>
        </a:p>
      </cdr:txBody>
    </cdr:sp>
  </cdr:relSizeAnchor>
  <cdr:relSizeAnchor xmlns:cdr="http://schemas.openxmlformats.org/drawingml/2006/chartDrawing">
    <cdr:from>
      <cdr:x>0.3634</cdr:x>
      <cdr:y>0.38378</cdr:y>
    </cdr:from>
    <cdr:to>
      <cdr:x>0.42227</cdr:x>
      <cdr:y>0.44571</cdr:y>
    </cdr:to>
    <cdr:sp macro="" textlink="">
      <cdr:nvSpPr>
        <cdr:cNvPr id="2059" name="Text Box 1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3265283" y="1630984"/>
          <a:ext cx="528962" cy="263186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Jul/21</a:t>
          </a:r>
        </a:p>
      </cdr:txBody>
    </cdr:sp>
  </cdr:relSizeAnchor>
  <cdr:relSizeAnchor xmlns:cdr="http://schemas.openxmlformats.org/drawingml/2006/chartDrawing">
    <cdr:from>
      <cdr:x>0.23771</cdr:x>
      <cdr:y>0.19598</cdr:y>
    </cdr:from>
    <cdr:to>
      <cdr:x>0.29559</cdr:x>
      <cdr:y>0.25717</cdr:y>
    </cdr:to>
    <cdr:sp macro="" textlink="">
      <cdr:nvSpPr>
        <cdr:cNvPr id="2060" name="Text Box 1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2135850" y="832843"/>
          <a:ext cx="520066" cy="26004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  <cdr:txBody>
        <a:bodyPr xmlns:a="http://schemas.openxmlformats.org/drawingml/2006/main" vertOverflow="clip" wrap="square" lIns="27432" tIns="22860" rIns="27432" bIns="22860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r>
            <a:rPr lang="pt-BR" sz="1075" b="0" i="0" strike="noStrike">
              <a:solidFill>
                <a:srgbClr val="000000"/>
              </a:solidFill>
              <a:latin typeface="Arial"/>
              <a:cs typeface="Arial"/>
            </a:rPr>
            <a:t>Set/21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161925</xdr:colOff>
      <xdr:row>78</xdr:row>
      <xdr:rowOff>0</xdr:rowOff>
    </xdr:from>
    <xdr:to>
      <xdr:col>12</xdr:col>
      <xdr:colOff>0</xdr:colOff>
      <xdr:row>78</xdr:row>
      <xdr:rowOff>0</xdr:rowOff>
    </xdr:to>
    <xdr:graphicFrame macro="">
      <xdr:nvGraphicFramePr>
        <xdr:cNvPr id="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42</xdr:row>
      <xdr:rowOff>76200</xdr:rowOff>
    </xdr:from>
    <xdr:to>
      <xdr:col>10</xdr:col>
      <xdr:colOff>628650</xdr:colOff>
      <xdr:row>73</xdr:row>
      <xdr:rowOff>0</xdr:rowOff>
    </xdr:to>
    <xdr:graphicFrame macro="">
      <xdr:nvGraphicFramePr>
        <xdr:cNvPr id="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61</xdr:row>
      <xdr:rowOff>0</xdr:rowOff>
    </xdr:from>
    <xdr:to>
      <xdr:col>12</xdr:col>
      <xdr:colOff>20411</xdr:colOff>
      <xdr:row>61</xdr:row>
      <xdr:rowOff>95250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24775" y="6353175"/>
          <a:ext cx="1306286" cy="95250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122</xdr:row>
      <xdr:rowOff>85726</xdr:rowOff>
    </xdr:from>
    <xdr:to>
      <xdr:col>11</xdr:col>
      <xdr:colOff>731520</xdr:colOff>
      <xdr:row>124</xdr:row>
      <xdr:rowOff>47625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24775" y="19459576"/>
          <a:ext cx="1274445" cy="238124"/>
        </a:xfrm>
        <a:prstGeom prst="rect">
          <a:avLst/>
        </a:prstGeom>
      </xdr:spPr>
    </xdr:pic>
    <xdr:clientData/>
  </xdr:twoCellAnchor>
  <xdr:twoCellAnchor editAs="oneCell">
    <xdr:from>
      <xdr:col>9</xdr:col>
      <xdr:colOff>1</xdr:colOff>
      <xdr:row>146</xdr:row>
      <xdr:rowOff>19049</xdr:rowOff>
    </xdr:from>
    <xdr:to>
      <xdr:col>12</xdr:col>
      <xdr:colOff>0</xdr:colOff>
      <xdr:row>147</xdr:row>
      <xdr:rowOff>104775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24776" y="23641049"/>
          <a:ext cx="1285874" cy="228601"/>
        </a:xfrm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158</xdr:row>
      <xdr:rowOff>19050</xdr:rowOff>
    </xdr:from>
    <xdr:to>
      <xdr:col>12</xdr:col>
      <xdr:colOff>0</xdr:colOff>
      <xdr:row>159</xdr:row>
      <xdr:rowOff>95250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724775" y="29832300"/>
          <a:ext cx="1285875" cy="2667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0</xdr:colOff>
      <xdr:row>77</xdr:row>
      <xdr:rowOff>0</xdr:rowOff>
    </xdr:from>
    <xdr:to>
      <xdr:col>38</xdr:col>
      <xdr:colOff>323850</xdr:colOff>
      <xdr:row>78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600825" y="11039475"/>
          <a:ext cx="133350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77</xdr:row>
      <xdr:rowOff>0</xdr:rowOff>
    </xdr:from>
    <xdr:to>
      <xdr:col>36</xdr:col>
      <xdr:colOff>438150</xdr:colOff>
      <xdr:row>78</xdr:row>
      <xdr:rowOff>0</xdr:rowOff>
    </xdr:to>
    <xdr:pic>
      <xdr:nvPicPr>
        <xdr:cNvPr id="3" name="Picture 2" descr="image00002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4325" y="11039475"/>
          <a:ext cx="1390650" cy="219075"/>
        </a:xfrm>
        <a:prstGeom prst="rect">
          <a:avLst/>
        </a:prstGeom>
      </xdr:spPr>
    </xdr:pic>
    <xdr:clientData/>
  </xdr:twoCellAnchor>
  <xdr:twoCellAnchor editAs="oneCell">
    <xdr:from>
      <xdr:col>29</xdr:col>
      <xdr:colOff>0</xdr:colOff>
      <xdr:row>78</xdr:row>
      <xdr:rowOff>0</xdr:rowOff>
    </xdr:from>
    <xdr:to>
      <xdr:col>36</xdr:col>
      <xdr:colOff>438150</xdr:colOff>
      <xdr:row>79</xdr:row>
      <xdr:rowOff>0</xdr:rowOff>
    </xdr:to>
    <xdr:pic>
      <xdr:nvPicPr>
        <xdr:cNvPr id="4" name="Picture 3" descr="image0000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934325" y="11258550"/>
          <a:ext cx="1390650" cy="209550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83</xdr:row>
      <xdr:rowOff>0</xdr:rowOff>
    </xdr:from>
    <xdr:to>
      <xdr:col>32</xdr:col>
      <xdr:colOff>361950</xdr:colOff>
      <xdr:row>84</xdr:row>
      <xdr:rowOff>0</xdr:rowOff>
    </xdr:to>
    <xdr:pic>
      <xdr:nvPicPr>
        <xdr:cNvPr id="5" name="Picture 4" descr="image0000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638675" y="12258675"/>
          <a:ext cx="1352550" cy="142875"/>
        </a:xfrm>
        <a:prstGeom prst="rect">
          <a:avLst/>
        </a:prstGeom>
      </xdr:spPr>
    </xdr:pic>
    <xdr:clientData/>
  </xdr:twoCellAnchor>
  <xdr:twoCellAnchor editAs="oneCell">
    <xdr:from>
      <xdr:col>18</xdr:col>
      <xdr:colOff>0</xdr:colOff>
      <xdr:row>83</xdr:row>
      <xdr:rowOff>0</xdr:rowOff>
    </xdr:from>
    <xdr:to>
      <xdr:col>28</xdr:col>
      <xdr:colOff>19050</xdr:colOff>
      <xdr:row>84</xdr:row>
      <xdr:rowOff>0</xdr:rowOff>
    </xdr:to>
    <xdr:pic>
      <xdr:nvPicPr>
        <xdr:cNvPr id="6" name="Picture 5" descr="image0000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5991225" y="12258675"/>
          <a:ext cx="676275" cy="142875"/>
        </a:xfrm>
        <a:prstGeom prst="rect">
          <a:avLst/>
        </a:prstGeom>
      </xdr:spPr>
    </xdr:pic>
    <xdr:clientData/>
  </xdr:twoCellAnchor>
  <xdr:twoCellAnchor editAs="oneCell">
    <xdr:from>
      <xdr:col>21</xdr:col>
      <xdr:colOff>0</xdr:colOff>
      <xdr:row>83</xdr:row>
      <xdr:rowOff>0</xdr:rowOff>
    </xdr:from>
    <xdr:to>
      <xdr:col>32</xdr:col>
      <xdr:colOff>561975</xdr:colOff>
      <xdr:row>84</xdr:row>
      <xdr:rowOff>0</xdr:rowOff>
    </xdr:to>
    <xdr:pic>
      <xdr:nvPicPr>
        <xdr:cNvPr id="7" name="Picture 6" descr="image00006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6667500" y="12258675"/>
          <a:ext cx="666750" cy="142875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83</xdr:row>
      <xdr:rowOff>0</xdr:rowOff>
    </xdr:from>
    <xdr:to>
      <xdr:col>34</xdr:col>
      <xdr:colOff>447675</xdr:colOff>
      <xdr:row>84</xdr:row>
      <xdr:rowOff>0</xdr:rowOff>
    </xdr:to>
    <xdr:pic>
      <xdr:nvPicPr>
        <xdr:cNvPr id="8" name="Picture 7" descr="image00007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334250" y="12258675"/>
          <a:ext cx="600075" cy="14287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cuments\Docum2021\Presta&#231;&#227;o_De_Contas_Abril_20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Administrador\Meus%20documentos\Exerc2006\Apresenta12de2006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REO"/>
      <sheetName val="RGF"/>
      <sheetName val="BalOrç"/>
      <sheetName val="SubFunç"/>
      <sheetName val="RPPS"/>
      <sheetName val="Prim"/>
      <sheetName val="RCL"/>
      <sheetName val="DCLP"/>
      <sheetName val="Plan1"/>
      <sheetName val="Mini"/>
      <sheetName val="DespEduc"/>
      <sheetName val="Cronogra"/>
      <sheetName val="Cruz"/>
      <sheetName val="MDE"/>
      <sheetName val="ASPS"/>
      <sheetName val="DespEmp"/>
      <sheetName val="DespLiq"/>
      <sheetName val="DespPaga"/>
      <sheetName val="Exec"/>
      <sheetName val="RAP"/>
      <sheetName val="AcompFAP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9">
          <cell r="D9">
            <v>0.54</v>
          </cell>
          <cell r="E9">
            <v>0.54</v>
          </cell>
          <cell r="F9">
            <v>0.54</v>
          </cell>
          <cell r="G9">
            <v>0.54</v>
          </cell>
          <cell r="H9">
            <v>0.54</v>
          </cell>
          <cell r="I9">
            <v>0.54</v>
          </cell>
          <cell r="J9">
            <v>0.54</v>
          </cell>
          <cell r="K9">
            <v>0.54</v>
          </cell>
          <cell r="L9">
            <v>0.54</v>
          </cell>
          <cell r="M9">
            <v>0.54</v>
          </cell>
          <cell r="N9">
            <v>0.54</v>
          </cell>
          <cell r="O9">
            <v>0.54</v>
          </cell>
        </row>
      </sheetData>
      <sheetData sheetId="9">
        <row r="20">
          <cell r="D20">
            <v>8576229.0500000007</v>
          </cell>
        </row>
      </sheetData>
      <sheetData sheetId="10" refreshError="1"/>
      <sheetData sheetId="11">
        <row r="40">
          <cell r="AE40">
            <v>40865393.119999997</v>
          </cell>
        </row>
      </sheetData>
      <sheetData sheetId="12">
        <row r="28">
          <cell r="I28">
            <v>144789216.63000003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PPS"/>
      <sheetName val="BalFin"/>
      <sheetName val="VarRPPS"/>
      <sheetName val="PatRPPS"/>
      <sheetName val="FinCons"/>
      <sheetName val="VarCons"/>
      <sheetName val="PatCons"/>
      <sheetName val="Consolid"/>
      <sheetName val="Financ"/>
      <sheetName val="BalSISTN"/>
      <sheetName val="Patrim"/>
      <sheetName val="Resum2"/>
      <sheetName val="DivAt"/>
      <sheetName val="Limites"/>
      <sheetName val="Mínim"/>
      <sheetName val="Atuarial"/>
      <sheetName val="CRUZ"/>
      <sheetName val="Metas"/>
      <sheetName val="DDPEL"/>
      <sheetName val="Resumos"/>
      <sheetName val="RCL"/>
      <sheetName val="MPS"/>
      <sheetName val="Disponib"/>
      <sheetName val="Funç"/>
      <sheetName val="BalOrç"/>
      <sheetName val="Prim"/>
      <sheetName val="Nomi"/>
      <sheetName val="DCL"/>
      <sheetName val="Restos"/>
      <sheetName val="RAPinscritos"/>
      <sheetName val="RecDespFAPS"/>
      <sheetName val="VINC"/>
      <sheetName val="Plan3"/>
      <sheetName val="Plan1"/>
      <sheetName val="Plan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02">
          <cell r="J102">
            <v>59301.533333333209</v>
          </cell>
        </row>
        <row r="103">
          <cell r="J103">
            <v>-28113.66333333333</v>
          </cell>
        </row>
        <row r="104">
          <cell r="J104">
            <v>-8269.1199999999953</v>
          </cell>
        </row>
        <row r="105">
          <cell r="J105">
            <v>5654.826666666675</v>
          </cell>
        </row>
        <row r="106">
          <cell r="J106">
            <v>-70756.576666666893</v>
          </cell>
        </row>
        <row r="107">
          <cell r="J107">
            <v>13654.580000000016</v>
          </cell>
        </row>
        <row r="108">
          <cell r="J108">
            <v>78357.869999999966</v>
          </cell>
        </row>
        <row r="109">
          <cell r="J109">
            <v>-182954.47666666657</v>
          </cell>
        </row>
        <row r="110">
          <cell r="J110">
            <v>-129513.63666666579</v>
          </cell>
        </row>
        <row r="111">
          <cell r="J111">
            <v>88479.670000000391</v>
          </cell>
        </row>
        <row r="112">
          <cell r="J112">
            <v>80146.053333333286</v>
          </cell>
        </row>
        <row r="113">
          <cell r="J113">
            <v>104245.48333333328</v>
          </cell>
        </row>
        <row r="114">
          <cell r="J114">
            <v>7241.7066666666651</v>
          </cell>
        </row>
        <row r="115">
          <cell r="J115">
            <v>35295.373333333329</v>
          </cell>
        </row>
        <row r="116">
          <cell r="J116">
            <v>217853.67333333334</v>
          </cell>
        </row>
        <row r="117">
          <cell r="J117">
            <v>-176204.25333333411</v>
          </cell>
        </row>
        <row r="192">
          <cell r="J192">
            <v>67808.04999999993</v>
          </cell>
        </row>
        <row r="193">
          <cell r="J193">
            <v>18918.219999999972</v>
          </cell>
        </row>
        <row r="194">
          <cell r="J194">
            <v>9857.5100000000093</v>
          </cell>
        </row>
        <row r="195">
          <cell r="J195">
            <v>1006.5599999999977</v>
          </cell>
        </row>
        <row r="196">
          <cell r="J196">
            <v>249769.87999999989</v>
          </cell>
        </row>
        <row r="197">
          <cell r="J197">
            <v>29268.719999999972</v>
          </cell>
        </row>
        <row r="198">
          <cell r="J198">
            <v>13008.560000000056</v>
          </cell>
        </row>
        <row r="199">
          <cell r="J199">
            <v>101946.72999999998</v>
          </cell>
        </row>
        <row r="200">
          <cell r="J200">
            <v>533680.19999999925</v>
          </cell>
        </row>
        <row r="201">
          <cell r="J201">
            <v>378077.09999999963</v>
          </cell>
        </row>
        <row r="202">
          <cell r="J202">
            <v>35528.70000000007</v>
          </cell>
        </row>
        <row r="203">
          <cell r="J203">
            <v>60700.789999999804</v>
          </cell>
        </row>
        <row r="204">
          <cell r="J204">
            <v>23912.360000000102</v>
          </cell>
        </row>
        <row r="205">
          <cell r="J205">
            <v>7234.86</v>
          </cell>
        </row>
        <row r="206">
          <cell r="J206">
            <v>222838.98999999976</v>
          </cell>
        </row>
        <row r="207">
          <cell r="J207">
            <v>-676947.98000000138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2"/>
  <sheetViews>
    <sheetView topLeftCell="A46" workbookViewId="0">
      <selection activeCell="B81" sqref="B81:F82"/>
    </sheetView>
  </sheetViews>
  <sheetFormatPr defaultRowHeight="15"/>
  <cols>
    <col min="1" max="2" width="1.7109375" customWidth="1"/>
    <col min="3" max="3" width="40.28515625" customWidth="1"/>
    <col min="4" max="4" width="11.7109375" bestFit="1" customWidth="1"/>
    <col min="5" max="5" width="14.28515625" bestFit="1" customWidth="1"/>
    <col min="6" max="7" width="10.85546875" bestFit="1" customWidth="1"/>
  </cols>
  <sheetData>
    <row r="1" spans="1:7">
      <c r="A1" s="698" t="s">
        <v>881</v>
      </c>
      <c r="B1" s="698"/>
      <c r="C1" s="698"/>
      <c r="D1" s="698"/>
      <c r="E1" s="698"/>
      <c r="F1" s="698"/>
      <c r="G1" s="698"/>
    </row>
    <row r="2" spans="1:7">
      <c r="A2" s="698" t="s">
        <v>882</v>
      </c>
      <c r="B2" s="698"/>
      <c r="C2" s="698"/>
      <c r="D2" s="698"/>
      <c r="E2" s="698"/>
      <c r="F2" s="698"/>
      <c r="G2" s="698"/>
    </row>
    <row r="3" spans="1:7">
      <c r="A3" s="699" t="s">
        <v>883</v>
      </c>
      <c r="B3" s="699"/>
      <c r="C3" s="699"/>
      <c r="D3" s="699"/>
      <c r="E3" s="699"/>
      <c r="F3" s="699"/>
      <c r="G3" s="699"/>
    </row>
    <row r="4" spans="1:7">
      <c r="A4" s="698" t="s">
        <v>884</v>
      </c>
      <c r="B4" s="698"/>
      <c r="C4" s="698"/>
      <c r="D4" s="698"/>
      <c r="E4" s="698"/>
      <c r="F4" s="698"/>
      <c r="G4" s="698"/>
    </row>
    <row r="5" spans="1:7">
      <c r="A5" s="698" t="s">
        <v>885</v>
      </c>
      <c r="B5" s="698"/>
      <c r="C5" s="698"/>
      <c r="D5" s="698"/>
      <c r="E5" s="698"/>
      <c r="F5" s="698"/>
      <c r="G5" s="698"/>
    </row>
    <row r="6" spans="1:7" ht="15.75" thickBot="1">
      <c r="A6" s="698" t="s">
        <v>886</v>
      </c>
      <c r="B6" s="698"/>
      <c r="C6" s="698"/>
      <c r="F6" s="700" t="s">
        <v>887</v>
      </c>
      <c r="G6" s="700"/>
    </row>
    <row r="7" spans="1:7" ht="15.75" thickBot="1">
      <c r="A7" s="652" t="s">
        <v>888</v>
      </c>
      <c r="B7" s="653"/>
      <c r="C7" s="653"/>
      <c r="D7" s="653" t="s">
        <v>889</v>
      </c>
      <c r="E7" s="653"/>
      <c r="F7" s="653"/>
      <c r="G7" s="654"/>
    </row>
    <row r="8" spans="1:7">
      <c r="A8" s="665" t="s">
        <v>890</v>
      </c>
      <c r="B8" s="666"/>
      <c r="C8" s="666"/>
      <c r="D8" s="694"/>
      <c r="E8" s="694"/>
      <c r="F8" s="694"/>
      <c r="G8" s="695"/>
    </row>
    <row r="9" spans="1:7">
      <c r="B9" s="669" t="s">
        <v>891</v>
      </c>
      <c r="C9" s="670"/>
      <c r="D9" s="671">
        <v>140361710.27000001</v>
      </c>
      <c r="E9" s="671"/>
      <c r="F9" s="671"/>
      <c r="G9" s="672"/>
    </row>
    <row r="10" spans="1:7">
      <c r="B10" s="669" t="s">
        <v>892</v>
      </c>
      <c r="C10" s="670"/>
      <c r="D10" s="671">
        <v>147609259.91999999</v>
      </c>
      <c r="E10" s="671"/>
      <c r="F10" s="671"/>
      <c r="G10" s="672"/>
    </row>
    <row r="11" spans="1:7">
      <c r="B11" s="669" t="s">
        <v>893</v>
      </c>
      <c r="C11" s="670"/>
      <c r="D11" s="671">
        <v>120206652.95</v>
      </c>
      <c r="E11" s="671"/>
      <c r="F11" s="671"/>
      <c r="G11" s="672"/>
    </row>
    <row r="12" spans="1:7">
      <c r="B12" s="669" t="s">
        <v>894</v>
      </c>
      <c r="C12" s="670"/>
      <c r="D12" s="696" t="s">
        <v>895</v>
      </c>
      <c r="E12" s="696"/>
      <c r="F12" s="696"/>
      <c r="G12" s="697"/>
    </row>
    <row r="13" spans="1:7">
      <c r="B13" s="669" t="s">
        <v>896</v>
      </c>
      <c r="C13" s="670"/>
      <c r="D13" s="671">
        <v>6768730.6900000004</v>
      </c>
      <c r="E13" s="671"/>
      <c r="F13" s="671"/>
      <c r="G13" s="672"/>
    </row>
    <row r="14" spans="1:7">
      <c r="A14" s="669" t="s">
        <v>897</v>
      </c>
      <c r="B14" s="670"/>
      <c r="C14" s="670"/>
      <c r="D14" s="692"/>
      <c r="E14" s="692"/>
      <c r="F14" s="692"/>
      <c r="G14" s="693"/>
    </row>
    <row r="15" spans="1:7">
      <c r="B15" s="669" t="s">
        <v>898</v>
      </c>
      <c r="C15" s="670"/>
      <c r="D15" s="671">
        <v>137392690.61000001</v>
      </c>
      <c r="E15" s="671"/>
      <c r="F15" s="671"/>
      <c r="G15" s="672"/>
    </row>
    <row r="16" spans="1:7">
      <c r="B16" s="669" t="s">
        <v>899</v>
      </c>
      <c r="C16" s="670"/>
      <c r="D16" s="671">
        <v>152359861.44</v>
      </c>
      <c r="E16" s="671"/>
      <c r="F16" s="671"/>
      <c r="G16" s="672"/>
    </row>
    <row r="17" spans="1:7">
      <c r="B17" s="669" t="s">
        <v>900</v>
      </c>
      <c r="C17" s="670"/>
      <c r="D17" s="671">
        <v>111781244.48</v>
      </c>
      <c r="E17" s="671"/>
      <c r="F17" s="671"/>
      <c r="G17" s="672"/>
    </row>
    <row r="18" spans="1:7">
      <c r="B18" s="669" t="s">
        <v>901</v>
      </c>
      <c r="C18" s="670"/>
      <c r="D18" s="671">
        <v>107325520.45999999</v>
      </c>
      <c r="E18" s="671"/>
      <c r="F18" s="671"/>
      <c r="G18" s="672"/>
    </row>
    <row r="19" spans="1:7">
      <c r="B19" s="669" t="s">
        <v>902</v>
      </c>
      <c r="C19" s="670"/>
      <c r="D19" s="671">
        <v>102398436.72</v>
      </c>
      <c r="E19" s="671"/>
      <c r="F19" s="671"/>
      <c r="G19" s="672"/>
    </row>
    <row r="20" spans="1:7" ht="15.75" thickBot="1">
      <c r="B20" s="669" t="s">
        <v>903</v>
      </c>
      <c r="C20" s="670"/>
      <c r="D20" s="671">
        <v>12881132.49</v>
      </c>
      <c r="E20" s="671"/>
      <c r="F20" s="671"/>
      <c r="G20" s="672"/>
    </row>
    <row r="21" spans="1:7" ht="15.75" thickBot="1">
      <c r="A21" s="420"/>
      <c r="B21" s="420"/>
      <c r="C21" s="420"/>
      <c r="D21" s="420"/>
      <c r="E21" s="420"/>
      <c r="F21" s="420"/>
      <c r="G21" s="420"/>
    </row>
    <row r="22" spans="1:7" ht="15.75" thickBot="1">
      <c r="A22" s="652" t="s">
        <v>904</v>
      </c>
      <c r="B22" s="653"/>
      <c r="C22" s="653"/>
      <c r="D22" s="653" t="s">
        <v>889</v>
      </c>
      <c r="E22" s="653"/>
      <c r="F22" s="653"/>
      <c r="G22" s="654"/>
    </row>
    <row r="23" spans="1:7">
      <c r="A23" s="421" t="s">
        <v>900</v>
      </c>
      <c r="B23" s="422"/>
      <c r="C23" s="422"/>
      <c r="D23" s="679">
        <v>111781244.48</v>
      </c>
      <c r="E23" s="679"/>
      <c r="F23" s="679"/>
      <c r="G23" s="680"/>
    </row>
    <row r="24" spans="1:7" ht="15.75" thickBot="1">
      <c r="A24" s="669" t="s">
        <v>901</v>
      </c>
      <c r="B24" s="670"/>
      <c r="C24" s="670"/>
      <c r="D24" s="671">
        <f>108578370.1-880000</f>
        <v>107698370.09999999</v>
      </c>
      <c r="E24" s="671"/>
      <c r="F24" s="671"/>
      <c r="G24" s="672"/>
    </row>
    <row r="25" spans="1:7" ht="15.75" thickBot="1">
      <c r="A25" s="420"/>
      <c r="B25" s="420"/>
      <c r="C25" s="420"/>
      <c r="D25" s="420"/>
      <c r="E25" s="420"/>
      <c r="F25" s="420"/>
      <c r="G25" s="420"/>
    </row>
    <row r="26" spans="1:7" ht="15.75" thickBot="1">
      <c r="A26" s="652" t="s">
        <v>905</v>
      </c>
      <c r="B26" s="653"/>
      <c r="C26" s="653"/>
      <c r="D26" s="653" t="s">
        <v>889</v>
      </c>
      <c r="E26" s="653"/>
      <c r="F26" s="653"/>
      <c r="G26" s="654"/>
    </row>
    <row r="27" spans="1:7" ht="15.75" thickBot="1">
      <c r="A27" s="665" t="s">
        <v>486</v>
      </c>
      <c r="B27" s="666"/>
      <c r="C27" s="666"/>
      <c r="D27" s="679">
        <f>109028370.1</f>
        <v>109028370.09999999</v>
      </c>
      <c r="E27" s="679"/>
      <c r="F27" s="679"/>
      <c r="G27" s="680"/>
    </row>
    <row r="28" spans="1:7" ht="15.75" thickBot="1">
      <c r="A28" s="665" t="s">
        <v>906</v>
      </c>
      <c r="B28" s="666"/>
      <c r="C28" s="666"/>
      <c r="D28" s="679">
        <f>108578370.1-880000</f>
        <v>107698370.09999999</v>
      </c>
      <c r="E28" s="679"/>
      <c r="F28" s="679"/>
      <c r="G28" s="680"/>
    </row>
    <row r="29" spans="1:7" ht="15.75" thickBot="1">
      <c r="A29" s="665" t="s">
        <v>907</v>
      </c>
      <c r="B29" s="666"/>
      <c r="C29" s="666"/>
      <c r="D29" s="679">
        <f>108578370.1-880000</f>
        <v>107698370.09999999</v>
      </c>
      <c r="E29" s="679"/>
      <c r="F29" s="679"/>
      <c r="G29" s="680"/>
    </row>
    <row r="30" spans="1:7" ht="15.75" thickBot="1">
      <c r="A30" s="420"/>
      <c r="B30" s="420"/>
      <c r="C30" s="420"/>
      <c r="D30" s="420"/>
      <c r="E30" s="420"/>
      <c r="F30" s="420"/>
      <c r="G30" s="420"/>
    </row>
    <row r="31" spans="1:7" ht="15.75" thickBot="1">
      <c r="A31" s="652" t="s">
        <v>908</v>
      </c>
      <c r="B31" s="653"/>
      <c r="C31" s="653"/>
      <c r="D31" s="653" t="s">
        <v>889</v>
      </c>
      <c r="E31" s="653"/>
      <c r="F31" s="653"/>
      <c r="G31" s="654"/>
    </row>
    <row r="32" spans="1:7">
      <c r="A32" s="665" t="s">
        <v>909</v>
      </c>
      <c r="B32" s="666"/>
      <c r="C32" s="666"/>
      <c r="D32" s="694"/>
      <c r="E32" s="694"/>
      <c r="F32" s="694"/>
      <c r="G32" s="695"/>
    </row>
    <row r="33" spans="1:7">
      <c r="B33" s="669" t="s">
        <v>910</v>
      </c>
      <c r="C33" s="670"/>
      <c r="D33" s="671">
        <v>13024053.199999999</v>
      </c>
      <c r="E33" s="671"/>
      <c r="F33" s="671"/>
      <c r="G33" s="672"/>
    </row>
    <row r="34" spans="1:7">
      <c r="B34" s="669" t="s">
        <v>911</v>
      </c>
      <c r="C34" s="670"/>
      <c r="D34" s="671">
        <v>18626473.260000002</v>
      </c>
      <c r="E34" s="671"/>
      <c r="F34" s="671"/>
      <c r="G34" s="672"/>
    </row>
    <row r="35" spans="1:7">
      <c r="B35" s="669" t="s">
        <v>912</v>
      </c>
      <c r="C35" s="670"/>
      <c r="D35" s="671">
        <v>18626473.260000002</v>
      </c>
      <c r="E35" s="671"/>
      <c r="F35" s="671"/>
      <c r="G35" s="672"/>
    </row>
    <row r="36" spans="1:7">
      <c r="B36" s="669" t="s">
        <v>913</v>
      </c>
      <c r="C36" s="670"/>
      <c r="D36" s="671">
        <v>-5602420.0599999996</v>
      </c>
      <c r="E36" s="671"/>
      <c r="F36" s="671"/>
      <c r="G36" s="672"/>
    </row>
    <row r="37" spans="1:7">
      <c r="A37" s="669" t="s">
        <v>914</v>
      </c>
      <c r="B37" s="670"/>
      <c r="C37" s="670"/>
      <c r="D37" s="692"/>
      <c r="E37" s="692"/>
      <c r="F37" s="692"/>
      <c r="G37" s="693"/>
    </row>
    <row r="38" spans="1:7">
      <c r="B38" s="669" t="s">
        <v>910</v>
      </c>
      <c r="C38" s="670"/>
      <c r="D38" s="671">
        <v>0</v>
      </c>
      <c r="E38" s="671"/>
      <c r="F38" s="671"/>
      <c r="G38" s="672"/>
    </row>
    <row r="39" spans="1:7">
      <c r="B39" s="669" t="s">
        <v>911</v>
      </c>
      <c r="C39" s="670"/>
      <c r="D39" s="671">
        <v>0</v>
      </c>
      <c r="E39" s="671"/>
      <c r="F39" s="671"/>
      <c r="G39" s="672"/>
    </row>
    <row r="40" spans="1:7">
      <c r="B40" s="669" t="s">
        <v>912</v>
      </c>
      <c r="C40" s="670"/>
      <c r="D40" s="671">
        <v>0</v>
      </c>
      <c r="E40" s="671"/>
      <c r="F40" s="671"/>
      <c r="G40" s="672"/>
    </row>
    <row r="41" spans="1:7" ht="15.75" thickBot="1">
      <c r="B41" s="669" t="s">
        <v>913</v>
      </c>
      <c r="C41" s="670"/>
      <c r="D41" s="671">
        <v>0</v>
      </c>
      <c r="E41" s="671"/>
      <c r="F41" s="671"/>
      <c r="G41" s="672"/>
    </row>
    <row r="42" spans="1:7" ht="15.75" thickBot="1">
      <c r="A42" s="420"/>
      <c r="B42" s="420"/>
      <c r="C42" s="420"/>
      <c r="D42" s="420"/>
      <c r="E42" s="420"/>
      <c r="F42" s="420"/>
      <c r="G42" s="420"/>
    </row>
    <row r="43" spans="1:7">
      <c r="A43" s="674" t="s">
        <v>915</v>
      </c>
      <c r="B43" s="688"/>
      <c r="C43" s="688"/>
      <c r="D43" s="423" t="s">
        <v>916</v>
      </c>
      <c r="E43" s="423" t="s">
        <v>917</v>
      </c>
      <c r="F43" s="653" t="s">
        <v>918</v>
      </c>
      <c r="G43" s="654"/>
    </row>
    <row r="44" spans="1:7">
      <c r="A44" s="660"/>
      <c r="B44" s="691"/>
      <c r="C44" s="691"/>
      <c r="D44" s="424" t="s">
        <v>919</v>
      </c>
      <c r="E44" s="424" t="s">
        <v>920</v>
      </c>
      <c r="F44" s="662"/>
      <c r="G44" s="663"/>
    </row>
    <row r="45" spans="1:7">
      <c r="A45" s="660"/>
      <c r="B45" s="691"/>
      <c r="C45" s="691"/>
      <c r="D45" s="424" t="s">
        <v>921</v>
      </c>
      <c r="E45" s="424"/>
      <c r="F45" s="662"/>
      <c r="G45" s="663"/>
    </row>
    <row r="46" spans="1:7" ht="15.75" thickBot="1">
      <c r="A46" s="660"/>
      <c r="B46" s="691"/>
      <c r="C46" s="691"/>
      <c r="D46" s="424" t="s">
        <v>922</v>
      </c>
      <c r="E46" s="424" t="s">
        <v>923</v>
      </c>
      <c r="F46" s="662" t="s">
        <v>924</v>
      </c>
      <c r="G46" s="663"/>
    </row>
    <row r="47" spans="1:7">
      <c r="A47" s="665" t="s">
        <v>925</v>
      </c>
      <c r="B47" s="666"/>
      <c r="C47" s="666"/>
      <c r="D47" s="425">
        <v>126749255.05</v>
      </c>
      <c r="E47" s="425">
        <v>9552005.1400000006</v>
      </c>
      <c r="F47" s="686">
        <v>7.54</v>
      </c>
      <c r="G47" s="687"/>
    </row>
    <row r="48" spans="1:7" ht="15.75" thickBot="1">
      <c r="A48" s="669" t="s">
        <v>926</v>
      </c>
      <c r="B48" s="670"/>
      <c r="C48" s="670"/>
      <c r="D48" s="426">
        <v>5797498.6500000004</v>
      </c>
      <c r="E48" s="426">
        <v>9796197.6899999995</v>
      </c>
      <c r="F48" s="671">
        <v>168.97</v>
      </c>
      <c r="G48" s="672"/>
    </row>
    <row r="49" spans="1:7" ht="15.75" thickBot="1">
      <c r="A49" s="420"/>
      <c r="B49" s="420"/>
      <c r="C49" s="420"/>
      <c r="D49" s="420"/>
      <c r="E49" s="420"/>
      <c r="F49" s="420"/>
      <c r="G49" s="420"/>
    </row>
    <row r="50" spans="1:7">
      <c r="A50" s="674" t="s">
        <v>927</v>
      </c>
      <c r="B50" s="688"/>
      <c r="C50" s="688"/>
      <c r="D50" s="423" t="s">
        <v>928</v>
      </c>
      <c r="E50" s="423" t="s">
        <v>929</v>
      </c>
      <c r="F50" s="423" t="s">
        <v>930</v>
      </c>
      <c r="G50" s="427" t="s">
        <v>931</v>
      </c>
    </row>
    <row r="51" spans="1:7" ht="15.75" thickBot="1">
      <c r="A51" s="689"/>
      <c r="B51" s="690"/>
      <c r="C51" s="691"/>
      <c r="D51" s="424"/>
      <c r="E51" s="424" t="s">
        <v>889</v>
      </c>
      <c r="F51" s="424" t="s">
        <v>889</v>
      </c>
      <c r="G51" s="428" t="s">
        <v>266</v>
      </c>
    </row>
    <row r="52" spans="1:7">
      <c r="B52" s="664" t="s">
        <v>932</v>
      </c>
      <c r="C52" s="665"/>
      <c r="D52" s="425">
        <v>26684024.18</v>
      </c>
      <c r="E52" s="425">
        <v>7518.73</v>
      </c>
      <c r="F52" s="425">
        <v>6622066.1500000004</v>
      </c>
      <c r="G52" s="429">
        <v>20054439.300000001</v>
      </c>
    </row>
    <row r="53" spans="1:7">
      <c r="C53" s="430" t="s">
        <v>933</v>
      </c>
      <c r="D53" s="426">
        <v>26681873.27</v>
      </c>
      <c r="E53" s="426">
        <v>7518.73</v>
      </c>
      <c r="F53" s="426">
        <v>6619915.2400000002</v>
      </c>
      <c r="G53" s="431">
        <v>20054439.300000001</v>
      </c>
    </row>
    <row r="54" spans="1:7">
      <c r="C54" s="430" t="s">
        <v>934</v>
      </c>
      <c r="D54" s="426">
        <v>2150.91</v>
      </c>
      <c r="E54" s="426">
        <v>0</v>
      </c>
      <c r="F54" s="426">
        <v>2150.91</v>
      </c>
      <c r="G54" s="431">
        <v>0</v>
      </c>
    </row>
    <row r="55" spans="1:7">
      <c r="B55" s="681" t="s">
        <v>935</v>
      </c>
      <c r="C55" s="669"/>
      <c r="D55" s="426">
        <v>2756615.15</v>
      </c>
      <c r="E55" s="426">
        <v>3887.19</v>
      </c>
      <c r="F55" s="426">
        <v>1129516.18</v>
      </c>
      <c r="G55" s="431">
        <v>1623211.78</v>
      </c>
    </row>
    <row r="56" spans="1:7">
      <c r="C56" s="430" t="s">
        <v>933</v>
      </c>
      <c r="D56" s="426">
        <v>2756615.15</v>
      </c>
      <c r="E56" s="426">
        <v>3887.19</v>
      </c>
      <c r="F56" s="426">
        <v>1129516.18</v>
      </c>
      <c r="G56" s="431">
        <v>1623211.78</v>
      </c>
    </row>
    <row r="57" spans="1:7" ht="15.75" thickBot="1">
      <c r="C57" s="430" t="s">
        <v>934</v>
      </c>
      <c r="D57" s="426">
        <v>0</v>
      </c>
      <c r="E57" s="426">
        <v>0</v>
      </c>
      <c r="F57" s="426">
        <v>0</v>
      </c>
      <c r="G57" s="431">
        <v>0</v>
      </c>
    </row>
    <row r="58" spans="1:7" ht="15.75" thickBot="1">
      <c r="A58" s="655" t="s">
        <v>289</v>
      </c>
      <c r="B58" s="656"/>
      <c r="C58" s="656"/>
      <c r="D58" s="432">
        <v>29440639.329999998</v>
      </c>
      <c r="E58" s="432">
        <v>11405.92</v>
      </c>
      <c r="F58" s="432">
        <v>7751582.3300000001</v>
      </c>
      <c r="G58" s="433">
        <v>21677651.079999998</v>
      </c>
    </row>
    <row r="60" spans="1:7" ht="15.75" thickBot="1">
      <c r="A60" s="682"/>
      <c r="B60" s="682"/>
      <c r="C60" s="678"/>
      <c r="D60" s="424"/>
      <c r="E60" s="683" t="s">
        <v>936</v>
      </c>
      <c r="F60" s="683"/>
      <c r="G60" s="684"/>
    </row>
    <row r="61" spans="1:7">
      <c r="A61" s="682" t="s">
        <v>937</v>
      </c>
      <c r="B61" s="682"/>
      <c r="C61" s="678"/>
      <c r="D61" s="424" t="s">
        <v>938</v>
      </c>
      <c r="E61" s="424" t="s">
        <v>939</v>
      </c>
      <c r="F61" s="654" t="s">
        <v>940</v>
      </c>
      <c r="G61" s="685"/>
    </row>
    <row r="62" spans="1:7" ht="15.75" thickBot="1">
      <c r="A62" s="677"/>
      <c r="B62" s="677"/>
      <c r="C62" s="678"/>
      <c r="D62" s="424" t="s">
        <v>920</v>
      </c>
      <c r="E62" s="424" t="s">
        <v>941</v>
      </c>
      <c r="F62" s="663" t="s">
        <v>942</v>
      </c>
      <c r="G62" s="677"/>
    </row>
    <row r="63" spans="1:7">
      <c r="A63" s="665" t="s">
        <v>943</v>
      </c>
      <c r="B63" s="666"/>
      <c r="C63" s="666"/>
      <c r="D63" s="425">
        <f>13962651.26</f>
        <v>13962651.26</v>
      </c>
      <c r="E63" s="434">
        <v>0.25</v>
      </c>
      <c r="F63" s="679">
        <v>20.88</v>
      </c>
      <c r="G63" s="680"/>
    </row>
    <row r="64" spans="1:7">
      <c r="A64" s="669" t="s">
        <v>944</v>
      </c>
      <c r="B64" s="670"/>
      <c r="C64" s="670"/>
      <c r="D64" s="426">
        <v>0</v>
      </c>
      <c r="E64" s="435">
        <v>0.7</v>
      </c>
      <c r="F64" s="671">
        <v>0</v>
      </c>
      <c r="G64" s="672"/>
    </row>
    <row r="65" spans="1:7">
      <c r="A65" s="669" t="s">
        <v>945</v>
      </c>
      <c r="B65" s="670"/>
      <c r="C65" s="670"/>
      <c r="D65" s="426">
        <v>0</v>
      </c>
      <c r="E65" s="435">
        <v>0.5</v>
      </c>
      <c r="F65" s="671">
        <v>0</v>
      </c>
      <c r="G65" s="672"/>
    </row>
    <row r="66" spans="1:7" ht="15.75" thickBot="1">
      <c r="A66" s="669" t="s">
        <v>946</v>
      </c>
      <c r="B66" s="670"/>
      <c r="C66" s="670"/>
      <c r="D66" s="426">
        <v>0</v>
      </c>
      <c r="E66" s="435">
        <v>0.15</v>
      </c>
      <c r="F66" s="671">
        <v>0</v>
      </c>
      <c r="G66" s="672"/>
    </row>
    <row r="67" spans="1:7" ht="15.75" thickBot="1">
      <c r="A67" s="420"/>
      <c r="B67" s="420"/>
      <c r="C67" s="420"/>
      <c r="D67" s="420"/>
      <c r="E67" s="420"/>
      <c r="F67" s="420"/>
      <c r="G67" s="420"/>
    </row>
    <row r="68" spans="1:7" ht="15.75" thickBot="1">
      <c r="A68" s="673"/>
      <c r="B68" s="673"/>
      <c r="C68" s="674"/>
      <c r="D68" s="423" t="s">
        <v>938</v>
      </c>
      <c r="E68" s="675" t="s">
        <v>947</v>
      </c>
      <c r="F68" s="675"/>
      <c r="G68" s="676"/>
    </row>
    <row r="69" spans="1:7">
      <c r="A69" s="659" t="s">
        <v>948</v>
      </c>
      <c r="B69" s="659"/>
      <c r="C69" s="660"/>
      <c r="D69" s="424" t="s">
        <v>920</v>
      </c>
      <c r="E69" s="424" t="s">
        <v>939</v>
      </c>
      <c r="F69" s="653" t="s">
        <v>949</v>
      </c>
      <c r="G69" s="654"/>
    </row>
    <row r="70" spans="1:7" ht="15.75" thickBot="1">
      <c r="A70" s="661"/>
      <c r="B70" s="659"/>
      <c r="C70" s="660"/>
      <c r="D70" s="424"/>
      <c r="E70" s="424" t="s">
        <v>950</v>
      </c>
      <c r="F70" s="662"/>
      <c r="G70" s="663"/>
    </row>
    <row r="71" spans="1:7" ht="15.75" thickBot="1">
      <c r="A71" s="664" t="s">
        <v>951</v>
      </c>
      <c r="B71" s="665"/>
      <c r="C71" s="666"/>
      <c r="D71" s="425">
        <f>13944799.05</f>
        <v>13944799.050000001</v>
      </c>
      <c r="E71" s="434">
        <v>0.15</v>
      </c>
      <c r="F71" s="667">
        <v>20.86</v>
      </c>
      <c r="G71" s="668"/>
    </row>
    <row r="72" spans="1:7" ht="15.75" thickBot="1">
      <c r="A72" s="420"/>
      <c r="B72" s="420"/>
      <c r="C72" s="420"/>
      <c r="D72" s="420"/>
      <c r="E72" s="420"/>
      <c r="F72" s="420"/>
      <c r="G72" s="420"/>
    </row>
    <row r="73" spans="1:7" ht="15.75" thickBot="1">
      <c r="A73" s="652" t="s">
        <v>952</v>
      </c>
      <c r="B73" s="653"/>
      <c r="C73" s="653"/>
      <c r="D73" s="653" t="s">
        <v>953</v>
      </c>
      <c r="E73" s="653"/>
      <c r="F73" s="653"/>
      <c r="G73" s="654"/>
    </row>
    <row r="74" spans="1:7" ht="15.75" thickBot="1">
      <c r="A74" s="655" t="s">
        <v>954</v>
      </c>
      <c r="B74" s="656"/>
      <c r="C74" s="656"/>
      <c r="D74" s="657">
        <v>0</v>
      </c>
      <c r="E74" s="657"/>
      <c r="F74" s="657"/>
      <c r="G74" s="658"/>
    </row>
    <row r="81" spans="2:10">
      <c r="B81" s="463" t="s">
        <v>103</v>
      </c>
      <c r="D81" s="55" t="s">
        <v>104</v>
      </c>
      <c r="F81" s="58" t="s">
        <v>105</v>
      </c>
      <c r="G81" s="57"/>
      <c r="H81" s="55"/>
      <c r="J81" s="58"/>
    </row>
    <row r="82" spans="2:10">
      <c r="B82" s="463" t="s">
        <v>106</v>
      </c>
      <c r="D82" s="55" t="s">
        <v>107</v>
      </c>
      <c r="F82" s="58" t="s">
        <v>108</v>
      </c>
      <c r="G82" s="57"/>
      <c r="H82" s="55"/>
      <c r="J82" s="58"/>
    </row>
  </sheetData>
  <mergeCells count="110">
    <mergeCell ref="A7:C7"/>
    <mergeCell ref="D7:G7"/>
    <mergeCell ref="A8:C8"/>
    <mergeCell ref="D8:G8"/>
    <mergeCell ref="B9:C9"/>
    <mergeCell ref="D9:G9"/>
    <mergeCell ref="A1:G1"/>
    <mergeCell ref="A2:G2"/>
    <mergeCell ref="A3:G3"/>
    <mergeCell ref="A4:G4"/>
    <mergeCell ref="A5:G5"/>
    <mergeCell ref="A6:C6"/>
    <mergeCell ref="F6:G6"/>
    <mergeCell ref="B13:C13"/>
    <mergeCell ref="D13:G13"/>
    <mergeCell ref="A14:C14"/>
    <mergeCell ref="D14:G14"/>
    <mergeCell ref="B15:C15"/>
    <mergeCell ref="D15:G15"/>
    <mergeCell ref="B10:C10"/>
    <mergeCell ref="D10:G10"/>
    <mergeCell ref="B11:C11"/>
    <mergeCell ref="D11:G11"/>
    <mergeCell ref="B12:C12"/>
    <mergeCell ref="D12:G12"/>
    <mergeCell ref="B19:C19"/>
    <mergeCell ref="D19:G19"/>
    <mergeCell ref="B20:C20"/>
    <mergeCell ref="D20:G20"/>
    <mergeCell ref="A22:C22"/>
    <mergeCell ref="D22:G22"/>
    <mergeCell ref="B16:C16"/>
    <mergeCell ref="D16:G16"/>
    <mergeCell ref="B17:C17"/>
    <mergeCell ref="D17:G17"/>
    <mergeCell ref="B18:C18"/>
    <mergeCell ref="D18:G18"/>
    <mergeCell ref="A28:C28"/>
    <mergeCell ref="D28:G28"/>
    <mergeCell ref="A29:C29"/>
    <mergeCell ref="D29:G29"/>
    <mergeCell ref="A31:C31"/>
    <mergeCell ref="D31:G31"/>
    <mergeCell ref="D23:G23"/>
    <mergeCell ref="A24:C24"/>
    <mergeCell ref="D24:G24"/>
    <mergeCell ref="A26:C26"/>
    <mergeCell ref="D26:G26"/>
    <mergeCell ref="A27:C27"/>
    <mergeCell ref="D27:G27"/>
    <mergeCell ref="B35:C35"/>
    <mergeCell ref="D35:G35"/>
    <mergeCell ref="B36:C36"/>
    <mergeCell ref="D36:G36"/>
    <mergeCell ref="A37:C37"/>
    <mergeCell ref="D37:G37"/>
    <mergeCell ref="A32:C32"/>
    <mergeCell ref="D32:G32"/>
    <mergeCell ref="B33:C33"/>
    <mergeCell ref="D33:G33"/>
    <mergeCell ref="B34:C34"/>
    <mergeCell ref="D34:G34"/>
    <mergeCell ref="B41:C41"/>
    <mergeCell ref="D41:G41"/>
    <mergeCell ref="A43:C46"/>
    <mergeCell ref="F43:G43"/>
    <mergeCell ref="F44:G44"/>
    <mergeCell ref="F45:G45"/>
    <mergeCell ref="F46:G46"/>
    <mergeCell ref="B38:C38"/>
    <mergeCell ref="D38:G38"/>
    <mergeCell ref="B39:C39"/>
    <mergeCell ref="D39:G39"/>
    <mergeCell ref="B40:C40"/>
    <mergeCell ref="D40:G40"/>
    <mergeCell ref="B52:C52"/>
    <mergeCell ref="B55:C55"/>
    <mergeCell ref="A58:C58"/>
    <mergeCell ref="A60:C60"/>
    <mergeCell ref="E60:G60"/>
    <mergeCell ref="A61:C61"/>
    <mergeCell ref="F61:G61"/>
    <mergeCell ref="A47:C47"/>
    <mergeCell ref="F47:G47"/>
    <mergeCell ref="A48:C48"/>
    <mergeCell ref="F48:G48"/>
    <mergeCell ref="A50:C50"/>
    <mergeCell ref="A51:C51"/>
    <mergeCell ref="A65:C65"/>
    <mergeCell ref="F65:G65"/>
    <mergeCell ref="A66:C66"/>
    <mergeCell ref="F66:G66"/>
    <mergeCell ref="A68:C68"/>
    <mergeCell ref="E68:G68"/>
    <mergeCell ref="A62:C62"/>
    <mergeCell ref="F62:G62"/>
    <mergeCell ref="A63:C63"/>
    <mergeCell ref="F63:G63"/>
    <mergeCell ref="A64:C64"/>
    <mergeCell ref="F64:G64"/>
    <mergeCell ref="A73:C73"/>
    <mergeCell ref="D73:G73"/>
    <mergeCell ref="A74:C74"/>
    <mergeCell ref="D74:G74"/>
    <mergeCell ref="A69:C69"/>
    <mergeCell ref="F69:G69"/>
    <mergeCell ref="A70:C70"/>
    <mergeCell ref="F70:G70"/>
    <mergeCell ref="A71:C71"/>
    <mergeCell ref="F71:G7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5"/>
  <sheetViews>
    <sheetView topLeftCell="A7" zoomScale="130" zoomScaleNormal="130" workbookViewId="0">
      <selection activeCell="C39" sqref="C39"/>
    </sheetView>
  </sheetViews>
  <sheetFormatPr defaultRowHeight="11.25"/>
  <cols>
    <col min="1" max="1" width="49.42578125" style="1" bestFit="1" customWidth="1"/>
    <col min="2" max="2" width="10.5703125" style="1" customWidth="1"/>
    <col min="3" max="3" width="12.28515625" style="1" bestFit="1" customWidth="1"/>
    <col min="4" max="5" width="11.42578125" style="1" bestFit="1" customWidth="1"/>
    <col min="6" max="6" width="10.5703125" style="1" bestFit="1" customWidth="1"/>
    <col min="7" max="8" width="11.42578125" style="1" bestFit="1" customWidth="1"/>
    <col min="9" max="10" width="10.5703125" style="1" bestFit="1" customWidth="1"/>
    <col min="11" max="11" width="11.42578125" style="1" bestFit="1" customWidth="1"/>
    <col min="12" max="12" width="10.5703125" style="1" bestFit="1" customWidth="1"/>
    <col min="13" max="13" width="11.42578125" style="1" bestFit="1" customWidth="1"/>
    <col min="14" max="14" width="10.5703125" style="1" bestFit="1" customWidth="1"/>
    <col min="15" max="15" width="11.42578125" style="1" bestFit="1" customWidth="1"/>
    <col min="16" max="16384" width="9.140625" style="1"/>
  </cols>
  <sheetData>
    <row r="1" spans="1:21">
      <c r="B1" s="2" t="s">
        <v>1</v>
      </c>
      <c r="E1" s="2" t="s">
        <v>515</v>
      </c>
      <c r="H1" s="67" t="s">
        <v>509</v>
      </c>
      <c r="I1" s="2" t="s">
        <v>1</v>
      </c>
      <c r="M1" s="2" t="s">
        <v>515</v>
      </c>
      <c r="U1" s="67" t="s">
        <v>510</v>
      </c>
    </row>
    <row r="2" spans="1:21">
      <c r="A2" s="11"/>
      <c r="B2" s="6"/>
      <c r="C2" s="701" t="s">
        <v>10</v>
      </c>
      <c r="D2" s="326">
        <v>44470</v>
      </c>
      <c r="E2" s="326">
        <v>44440</v>
      </c>
      <c r="F2" s="326">
        <v>44409</v>
      </c>
      <c r="G2" s="326">
        <v>44378</v>
      </c>
      <c r="H2" s="326">
        <v>44348</v>
      </c>
      <c r="I2" s="326">
        <v>44317</v>
      </c>
      <c r="J2" s="326">
        <v>44287</v>
      </c>
      <c r="K2" s="42">
        <v>44256</v>
      </c>
      <c r="L2" s="44">
        <v>44228</v>
      </c>
      <c r="M2" s="42">
        <v>44197</v>
      </c>
      <c r="N2" s="44">
        <v>44166</v>
      </c>
      <c r="O2" s="42">
        <v>44136</v>
      </c>
    </row>
    <row r="3" spans="1:21">
      <c r="A3" s="12" t="s">
        <v>0</v>
      </c>
      <c r="B3" s="8"/>
      <c r="C3" s="702"/>
      <c r="D3" s="327" t="s">
        <v>38</v>
      </c>
      <c r="E3" s="43" t="s">
        <v>39</v>
      </c>
      <c r="F3" s="41" t="s">
        <v>40</v>
      </c>
      <c r="G3" s="43" t="s">
        <v>466</v>
      </c>
      <c r="H3" s="41" t="s">
        <v>467</v>
      </c>
      <c r="I3" s="43" t="s">
        <v>468</v>
      </c>
      <c r="J3" s="41" t="s">
        <v>469</v>
      </c>
      <c r="K3" s="43" t="s">
        <v>470</v>
      </c>
      <c r="L3" s="41" t="s">
        <v>471</v>
      </c>
      <c r="M3" s="43" t="s">
        <v>472</v>
      </c>
      <c r="N3" s="41" t="s">
        <v>473</v>
      </c>
      <c r="O3" s="43" t="s">
        <v>474</v>
      </c>
    </row>
    <row r="4" spans="1:21">
      <c r="A4" s="9" t="s">
        <v>44</v>
      </c>
      <c r="B4" s="14" t="s">
        <v>45</v>
      </c>
      <c r="C4" s="13">
        <f>SUM(D4:O4)</f>
        <v>0</v>
      </c>
      <c r="D4" s="395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21">
      <c r="A5" s="5" t="s">
        <v>2</v>
      </c>
      <c r="B5" s="5"/>
      <c r="C5" s="13">
        <f>SUM(D5:O5)</f>
        <v>119786752.29000001</v>
      </c>
      <c r="D5" s="62">
        <f>D6-D7</f>
        <v>11215124.91</v>
      </c>
      <c r="E5" s="62">
        <f>E6-E7</f>
        <v>8599619.8900000006</v>
      </c>
      <c r="F5" s="62">
        <f>F6-F7</f>
        <v>9409782.5599999987</v>
      </c>
      <c r="G5" s="62">
        <f>G6-G7</f>
        <v>12193906.34</v>
      </c>
      <c r="H5" s="62">
        <f>H6-H7</f>
        <v>8870336.4799999986</v>
      </c>
      <c r="I5" s="62">
        <f t="shared" ref="I5:O5" si="0">I6-I7</f>
        <v>9932379.9400000013</v>
      </c>
      <c r="J5" s="62">
        <f t="shared" si="0"/>
        <v>9629502.4100000001</v>
      </c>
      <c r="K5" s="62">
        <f t="shared" si="0"/>
        <v>9014518.75</v>
      </c>
      <c r="L5" s="62">
        <f t="shared" si="0"/>
        <v>8766516.5800000001</v>
      </c>
      <c r="M5" s="62">
        <f t="shared" si="0"/>
        <v>10099075.539999999</v>
      </c>
      <c r="N5" s="62">
        <f t="shared" si="0"/>
        <v>13680360.27</v>
      </c>
      <c r="O5" s="62">
        <f t="shared" si="0"/>
        <v>8375628.620000001</v>
      </c>
    </row>
    <row r="6" spans="1:21">
      <c r="A6" s="5" t="s">
        <v>3</v>
      </c>
      <c r="B6" s="10" t="s">
        <v>46</v>
      </c>
      <c r="C6" s="13">
        <f>SUM(D6:O6)</f>
        <v>135029729.34999999</v>
      </c>
      <c r="D6" s="62">
        <v>13127307.9</v>
      </c>
      <c r="E6" s="62">
        <v>9720598.4900000002</v>
      </c>
      <c r="F6" s="62">
        <f>10728421.86</f>
        <v>10728421.859999999</v>
      </c>
      <c r="G6" s="62">
        <v>13657496.41</v>
      </c>
      <c r="H6" s="62">
        <f>9968466.03</f>
        <v>9968466.0299999993</v>
      </c>
      <c r="I6" s="62">
        <v>11100660.310000001</v>
      </c>
      <c r="J6" s="62">
        <f>10680236.85</f>
        <v>10680236.85</v>
      </c>
      <c r="K6" s="62">
        <v>10150953.99</v>
      </c>
      <c r="L6" s="62">
        <f>9916523.05</f>
        <v>9916523.0500000007</v>
      </c>
      <c r="M6" s="62">
        <f>11591995.86</f>
        <v>11591995.859999999</v>
      </c>
      <c r="N6" s="62">
        <f>15002415.79</f>
        <v>15002415.789999999</v>
      </c>
      <c r="O6" s="62">
        <f>9384652.81</f>
        <v>9384652.8100000005</v>
      </c>
    </row>
    <row r="7" spans="1:21">
      <c r="A7" s="5" t="s">
        <v>4</v>
      </c>
      <c r="B7" s="10" t="s">
        <v>47</v>
      </c>
      <c r="C7" s="13">
        <f>SUM(D7:O7)</f>
        <v>15242977.060000001</v>
      </c>
      <c r="D7" s="328">
        <v>1912182.99</v>
      </c>
      <c r="E7" s="328">
        <f>1120978.6</f>
        <v>1120978.6000000001</v>
      </c>
      <c r="F7" s="328">
        <f>1318639.3</f>
        <v>1318639.3</v>
      </c>
      <c r="G7" s="328">
        <v>1463590.07</v>
      </c>
      <c r="H7" s="328">
        <f>1098129.55</f>
        <v>1098129.55</v>
      </c>
      <c r="I7" s="328">
        <f>1168280.37</f>
        <v>1168280.3700000001</v>
      </c>
      <c r="J7" s="328">
        <v>1050734.44</v>
      </c>
      <c r="K7" s="328">
        <v>1136435.24</v>
      </c>
      <c r="L7" s="328">
        <v>1150006.47</v>
      </c>
      <c r="M7" s="328">
        <v>1492920.3200000001</v>
      </c>
      <c r="N7" s="328">
        <v>1322055.52</v>
      </c>
      <c r="O7" s="328">
        <v>1009024.19</v>
      </c>
    </row>
    <row r="8" spans="1:21" s="2" customFormat="1">
      <c r="A8" s="9" t="s">
        <v>5</v>
      </c>
      <c r="B8" s="15"/>
      <c r="C8" s="16">
        <f>SUM(D8:O8)</f>
        <v>10758382.189999999</v>
      </c>
      <c r="D8" s="16">
        <f t="shared" ref="D8:I8" si="1">SUM(D9:D30)</f>
        <v>758296.15999999992</v>
      </c>
      <c r="E8" s="16">
        <f t="shared" si="1"/>
        <v>789004.9700000002</v>
      </c>
      <c r="F8" s="16">
        <f t="shared" si="1"/>
        <v>672336.2</v>
      </c>
      <c r="G8" s="16">
        <f t="shared" si="1"/>
        <v>678619.85000000009</v>
      </c>
      <c r="H8" s="16">
        <f t="shared" si="1"/>
        <v>698021.14999999991</v>
      </c>
      <c r="I8" s="16">
        <f t="shared" si="1"/>
        <v>853276.06</v>
      </c>
      <c r="J8" s="16">
        <f t="shared" ref="J8:O8" si="2">SUM(J9:J30)</f>
        <v>953538.44</v>
      </c>
      <c r="K8" s="16">
        <f t="shared" si="2"/>
        <v>694792.86999999988</v>
      </c>
      <c r="L8" s="16">
        <f t="shared" si="2"/>
        <v>654440.6</v>
      </c>
      <c r="M8" s="16">
        <f t="shared" si="2"/>
        <v>656940.72</v>
      </c>
      <c r="N8" s="16">
        <f t="shared" si="2"/>
        <v>2256707.36</v>
      </c>
      <c r="O8" s="16">
        <f t="shared" si="2"/>
        <v>1092407.8099999998</v>
      </c>
    </row>
    <row r="9" spans="1:21" s="2" customFormat="1">
      <c r="A9" s="350" t="s">
        <v>500</v>
      </c>
      <c r="B9" s="10" t="s">
        <v>502</v>
      </c>
      <c r="C9" s="13">
        <f t="shared" ref="C9:C36" si="3">SUM(D9:O9)</f>
        <v>536009.37</v>
      </c>
      <c r="D9" s="62"/>
      <c r="E9" s="62"/>
      <c r="F9" s="62"/>
      <c r="G9" s="62"/>
      <c r="H9" s="62"/>
      <c r="I9" s="62"/>
      <c r="J9" s="62"/>
      <c r="K9" s="62"/>
      <c r="L9" s="62"/>
      <c r="M9" s="62"/>
      <c r="N9" s="62">
        <v>352766.44</v>
      </c>
      <c r="O9" s="62">
        <v>183242.93</v>
      </c>
    </row>
    <row r="10" spans="1:21" s="2" customFormat="1">
      <c r="A10" s="350" t="s">
        <v>501</v>
      </c>
      <c r="B10" s="10" t="s">
        <v>503</v>
      </c>
      <c r="C10" s="13">
        <f>SUM(D10:O10)</f>
        <v>58081.91</v>
      </c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>
        <v>43092.75</v>
      </c>
      <c r="O10" s="62">
        <v>14989.16</v>
      </c>
    </row>
    <row r="11" spans="1:21">
      <c r="A11" s="7" t="s">
        <v>6</v>
      </c>
      <c r="B11" s="351"/>
      <c r="C11" s="352"/>
      <c r="D11" s="352"/>
      <c r="E11" s="352"/>
      <c r="F11" s="352"/>
      <c r="G11" s="352"/>
      <c r="H11" s="352"/>
      <c r="I11" s="352"/>
      <c r="J11" s="352"/>
      <c r="K11" s="352"/>
      <c r="L11" s="352"/>
      <c r="M11" s="352"/>
      <c r="N11" s="352"/>
      <c r="O11" s="352"/>
    </row>
    <row r="12" spans="1:21" s="2" customFormat="1">
      <c r="A12" s="9" t="s">
        <v>7</v>
      </c>
      <c r="B12" s="30" t="s">
        <v>30</v>
      </c>
      <c r="C12" s="331"/>
      <c r="D12" s="331"/>
      <c r="E12" s="331"/>
      <c r="F12" s="331"/>
      <c r="G12" s="331"/>
      <c r="H12" s="331"/>
      <c r="I12" s="331"/>
      <c r="J12" s="331"/>
      <c r="K12" s="331"/>
      <c r="L12" s="331"/>
      <c r="M12" s="331"/>
      <c r="N12" s="331"/>
      <c r="O12" s="331"/>
    </row>
    <row r="13" spans="1:21" s="2" customFormat="1">
      <c r="A13" s="5" t="s">
        <v>479</v>
      </c>
      <c r="B13" s="10" t="s">
        <v>480</v>
      </c>
      <c r="C13" s="13">
        <f t="shared" si="3"/>
        <v>5075995.1600000011</v>
      </c>
      <c r="D13" s="330">
        <f>293539.42+89308.42+5470.32</f>
        <v>388318.16</v>
      </c>
      <c r="E13" s="330">
        <f>299513.45+89308.42+5470.32</f>
        <v>394292.19</v>
      </c>
      <c r="F13" s="330">
        <f>294469.34+89696.81+5886.79</f>
        <v>390052.94</v>
      </c>
      <c r="G13" s="330">
        <f>296366.8+88943.6+5398.89</f>
        <v>390709.29000000004</v>
      </c>
      <c r="H13" s="330">
        <f>298472.38+5398.89+88625.3</f>
        <v>392496.57</v>
      </c>
      <c r="I13" s="330">
        <f>298361.17+88371.47+5398.89</f>
        <v>392131.53</v>
      </c>
      <c r="J13" s="330">
        <f>313926.32+96754.49+6252.66</f>
        <v>416933.47</v>
      </c>
      <c r="K13" s="330">
        <f>318012.38+94784+6494.53</f>
        <v>419290.91000000003</v>
      </c>
      <c r="L13" s="330">
        <f>307814.79+84619.56+4732.59</f>
        <v>397166.94</v>
      </c>
      <c r="M13" s="330">
        <f>302663.53+89412.23+5381.31</f>
        <v>397457.07</v>
      </c>
      <c r="N13" s="330">
        <f>628085.06+173817.83+10572.17</f>
        <v>812475.06</v>
      </c>
      <c r="O13" s="330">
        <f>282880.52+1399.1+391.41</f>
        <v>284671.02999999997</v>
      </c>
    </row>
    <row r="14" spans="1:21" s="2" customFormat="1">
      <c r="A14" s="5" t="s">
        <v>481</v>
      </c>
      <c r="B14" s="10" t="s">
        <v>482</v>
      </c>
      <c r="C14" s="329">
        <f t="shared" si="3"/>
        <v>1616910.0699999996</v>
      </c>
      <c r="D14" s="62">
        <f>97373.51+54029.42</f>
        <v>151402.93</v>
      </c>
      <c r="E14" s="62">
        <f>78297.89+53855.24</f>
        <v>132153.13</v>
      </c>
      <c r="F14" s="62">
        <f>79675.55+54607.44</f>
        <v>134282.99</v>
      </c>
      <c r="G14" s="62">
        <f>79600.29+53390.39</f>
        <v>132990.68</v>
      </c>
      <c r="H14" s="62">
        <f>80247.08+53261.04</f>
        <v>133508.12</v>
      </c>
      <c r="I14" s="62">
        <f>79557.62+53143.65</f>
        <v>132701.26999999999</v>
      </c>
      <c r="J14" s="62">
        <f>81236.98+55047.24</f>
        <v>136284.22</v>
      </c>
      <c r="K14" s="62">
        <f>79585.02+54161.84</f>
        <v>133746.85999999999</v>
      </c>
      <c r="L14" s="62">
        <f>77926.13+51030.99</f>
        <v>128957.12</v>
      </c>
      <c r="M14" s="62">
        <f>90346.65+50949.34</f>
        <v>141295.99</v>
      </c>
      <c r="N14" s="62">
        <f>79963.94+50813.43</f>
        <v>130777.37</v>
      </c>
      <c r="O14" s="62">
        <f>77968.47+50840.92</f>
        <v>128809.39</v>
      </c>
    </row>
    <row r="15" spans="1:21">
      <c r="A15" s="5" t="s">
        <v>8</v>
      </c>
      <c r="B15" s="10"/>
      <c r="C15" s="329">
        <f t="shared" si="3"/>
        <v>0</v>
      </c>
      <c r="D15" s="62"/>
      <c r="E15" s="62"/>
      <c r="F15" s="62"/>
      <c r="G15" s="62"/>
      <c r="H15" s="62"/>
      <c r="I15" s="62"/>
      <c r="J15" s="62"/>
      <c r="K15" s="62"/>
      <c r="L15" s="62"/>
      <c r="M15" s="62"/>
      <c r="N15" s="62"/>
      <c r="O15" s="62"/>
    </row>
    <row r="16" spans="1:21">
      <c r="A16" s="10" t="s">
        <v>855</v>
      </c>
      <c r="B16" s="10" t="s">
        <v>477</v>
      </c>
      <c r="C16" s="13">
        <f t="shared" si="3"/>
        <v>457598.98999999993</v>
      </c>
      <c r="D16" s="62">
        <v>41374.67</v>
      </c>
      <c r="E16" s="62">
        <v>41374.67</v>
      </c>
      <c r="F16" s="62">
        <f>41374.67</f>
        <v>41374.67</v>
      </c>
      <c r="G16" s="62">
        <v>41374.67</v>
      </c>
      <c r="H16" s="62">
        <v>41374.67</v>
      </c>
      <c r="I16" s="62">
        <f>41257.47</f>
        <v>41257.47</v>
      </c>
      <c r="J16" s="62">
        <v>41167.85</v>
      </c>
      <c r="K16" s="62">
        <v>41167.85</v>
      </c>
      <c r="L16" s="62"/>
      <c r="M16" s="62"/>
      <c r="N16" s="62">
        <v>84754.98</v>
      </c>
      <c r="O16" s="62">
        <f>42377.49</f>
        <v>42377.49</v>
      </c>
    </row>
    <row r="17" spans="1:15">
      <c r="A17" s="5" t="s">
        <v>9</v>
      </c>
      <c r="B17" s="10"/>
      <c r="C17" s="13">
        <f t="shared" si="3"/>
        <v>0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</row>
    <row r="18" spans="1:15">
      <c r="A18" s="5" t="s">
        <v>856</v>
      </c>
      <c r="B18" s="10" t="s">
        <v>31</v>
      </c>
      <c r="C18" s="329">
        <f t="shared" si="3"/>
        <v>1496910.64</v>
      </c>
      <c r="D18" s="62">
        <f>356724.71-334520.02</f>
        <v>22204.690000000002</v>
      </c>
      <c r="E18" s="62">
        <f>207190.52-117856.34</f>
        <v>89334.18</v>
      </c>
      <c r="F18" s="62">
        <f>93050.89-139895.26</f>
        <v>-46844.37000000001</v>
      </c>
      <c r="G18" s="62">
        <f>73898.94-87402.27</f>
        <v>-13503.330000000002</v>
      </c>
      <c r="H18" s="62">
        <f>48213.11-50509.62</f>
        <v>-2296.510000000002</v>
      </c>
      <c r="I18" s="62">
        <f>196118.17-25818.29</f>
        <v>170299.88</v>
      </c>
      <c r="J18" s="62">
        <f>248546.13-11575.91</f>
        <v>236970.22</v>
      </c>
      <c r="K18" s="62">
        <f>70335.98-81867.41</f>
        <v>-11531.430000000008</v>
      </c>
      <c r="L18" s="62">
        <f>7644.48</f>
        <v>7644.48</v>
      </c>
      <c r="M18" s="62">
        <f>21390.5-13008.99</f>
        <v>8381.51</v>
      </c>
      <c r="N18" s="62">
        <v>693735.59</v>
      </c>
      <c r="O18" s="62">
        <f>342515.73</f>
        <v>342515.73</v>
      </c>
    </row>
    <row r="19" spans="1:15">
      <c r="A19" s="5" t="s">
        <v>720</v>
      </c>
      <c r="B19" s="10" t="s">
        <v>32</v>
      </c>
      <c r="C19" s="329">
        <f t="shared" si="3"/>
        <v>14733.870000000003</v>
      </c>
      <c r="D19" s="62"/>
      <c r="E19" s="62"/>
      <c r="F19" s="62"/>
      <c r="G19" s="62">
        <v>1056.75</v>
      </c>
      <c r="H19" s="62">
        <v>1981.34</v>
      </c>
      <c r="I19" s="62">
        <v>1981.34</v>
      </c>
      <c r="J19" s="62">
        <f>1981.34</f>
        <v>1981.34</v>
      </c>
      <c r="K19" s="62">
        <f>1981.34</f>
        <v>1981.34</v>
      </c>
      <c r="L19" s="62">
        <v>1437.94</v>
      </c>
      <c r="M19" s="62">
        <v>1437.94</v>
      </c>
      <c r="N19" s="62">
        <f>1437.94</f>
        <v>1437.94</v>
      </c>
      <c r="O19" s="62">
        <v>1437.94</v>
      </c>
    </row>
    <row r="20" spans="1:15">
      <c r="A20" s="5" t="s">
        <v>12</v>
      </c>
      <c r="B20" s="10" t="s">
        <v>475</v>
      </c>
      <c r="C20" s="13">
        <f t="shared" si="3"/>
        <v>0</v>
      </c>
      <c r="D20" s="395"/>
      <c r="E20" s="395"/>
      <c r="F20" s="395"/>
      <c r="G20" s="395"/>
      <c r="H20" s="7"/>
      <c r="I20" s="7"/>
      <c r="J20" s="7"/>
      <c r="K20" s="7"/>
      <c r="L20" s="7"/>
      <c r="M20" s="7"/>
      <c r="N20" s="7"/>
      <c r="O20" s="7"/>
    </row>
    <row r="21" spans="1:15">
      <c r="A21" s="10" t="s">
        <v>13</v>
      </c>
      <c r="B21" s="10" t="s">
        <v>478</v>
      </c>
      <c r="C21" s="329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2"/>
    </row>
    <row r="22" spans="1:15">
      <c r="A22" s="5" t="s">
        <v>14</v>
      </c>
      <c r="B22" s="10" t="s">
        <v>33</v>
      </c>
      <c r="C22" s="13">
        <f t="shared" si="3"/>
        <v>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5" t="s">
        <v>15</v>
      </c>
      <c r="B23" s="10"/>
      <c r="C23" s="13">
        <f t="shared" si="3"/>
        <v>0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>
      <c r="A24" s="10" t="s">
        <v>857</v>
      </c>
      <c r="B24" s="10" t="s">
        <v>476</v>
      </c>
      <c r="C24" s="329">
        <f t="shared" si="3"/>
        <v>26730.750000000007</v>
      </c>
      <c r="D24" s="62">
        <v>3251.51</v>
      </c>
      <c r="E24" s="62">
        <v>3466.3</v>
      </c>
      <c r="F24" s="62">
        <f>3240.91</f>
        <v>3240.91</v>
      </c>
      <c r="G24" s="62">
        <f>2716.37</f>
        <v>2716.37</v>
      </c>
      <c r="H24" s="62">
        <f>3681.13</f>
        <v>3681.13</v>
      </c>
      <c r="I24" s="62">
        <f>2624.65</f>
        <v>2624.65</v>
      </c>
      <c r="J24" s="62">
        <f>390.81</f>
        <v>390.81</v>
      </c>
      <c r="K24" s="62">
        <v>1595.84</v>
      </c>
      <c r="L24" s="62">
        <v>1427.22</v>
      </c>
      <c r="M24" s="62">
        <f>1444.23</f>
        <v>1444.23</v>
      </c>
      <c r="N24" s="62">
        <v>1446.92</v>
      </c>
      <c r="O24" s="62">
        <v>1444.86</v>
      </c>
    </row>
    <row r="25" spans="1:15">
      <c r="A25" s="10" t="s">
        <v>737</v>
      </c>
      <c r="B25" s="10" t="s">
        <v>34</v>
      </c>
      <c r="C25" s="329">
        <f t="shared" si="3"/>
        <v>1475411.4300000002</v>
      </c>
      <c r="D25" s="105">
        <v>151744.20000000001</v>
      </c>
      <c r="E25" s="105">
        <f>128384.5</f>
        <v>128384.5</v>
      </c>
      <c r="F25" s="105">
        <f>150351.34-122.28</f>
        <v>150229.06</v>
      </c>
      <c r="G25" s="105">
        <f>123275.42</f>
        <v>123275.42</v>
      </c>
      <c r="H25" s="105">
        <f>127275.83</f>
        <v>127275.83</v>
      </c>
      <c r="I25" s="105">
        <f>112279.92</f>
        <v>112279.92</v>
      </c>
      <c r="J25" s="105">
        <f>119852.53-42</f>
        <v>119810.53</v>
      </c>
      <c r="K25" s="105">
        <f>108541.5</f>
        <v>108541.5</v>
      </c>
      <c r="L25" s="105">
        <f>119962.13-2155.23</f>
        <v>117806.90000000001</v>
      </c>
      <c r="M25" s="105">
        <f>107183.73-259.75</f>
        <v>106923.98</v>
      </c>
      <c r="N25" s="105">
        <v>136220.31</v>
      </c>
      <c r="O25" s="105">
        <f>93159.28-240</f>
        <v>92919.28</v>
      </c>
    </row>
    <row r="26" spans="1:15">
      <c r="A26" s="5" t="s">
        <v>16</v>
      </c>
      <c r="B26" s="10"/>
      <c r="C26" s="13">
        <f t="shared" si="3"/>
        <v>0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5" t="s">
        <v>17</v>
      </c>
      <c r="B27" s="10" t="s">
        <v>35</v>
      </c>
      <c r="C27" s="13">
        <f t="shared" si="3"/>
        <v>0</v>
      </c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>
      <c r="A28" s="5" t="s">
        <v>18</v>
      </c>
      <c r="B28" s="10" t="s">
        <v>37</v>
      </c>
      <c r="C28" s="13">
        <f t="shared" si="3"/>
        <v>0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 t="s">
        <v>19</v>
      </c>
      <c r="B29" s="10" t="s">
        <v>36</v>
      </c>
      <c r="C29" s="13">
        <f t="shared" si="3"/>
        <v>0</v>
      </c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 t="s">
        <v>20</v>
      </c>
      <c r="B30" s="10"/>
      <c r="C30" s="13">
        <f t="shared" si="3"/>
        <v>0</v>
      </c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 s="2" customFormat="1">
      <c r="A31" s="9" t="s">
        <v>21</v>
      </c>
      <c r="B31" s="15"/>
      <c r="C31" s="16">
        <f>SUM(D31:O31)</f>
        <v>109028370.09999999</v>
      </c>
      <c r="D31" s="17">
        <f t="shared" ref="D31" si="4">D5-D8</f>
        <v>10456828.75</v>
      </c>
      <c r="E31" s="17">
        <f t="shared" ref="E31:O31" si="5">E5-E8</f>
        <v>7810614.9199999999</v>
      </c>
      <c r="F31" s="17">
        <f t="shared" si="5"/>
        <v>8737446.3599999994</v>
      </c>
      <c r="G31" s="17">
        <f t="shared" si="5"/>
        <v>11515286.49</v>
      </c>
      <c r="H31" s="17">
        <f t="shared" si="5"/>
        <v>8172315.3299999982</v>
      </c>
      <c r="I31" s="17">
        <f t="shared" si="5"/>
        <v>9079103.8800000008</v>
      </c>
      <c r="J31" s="17">
        <f t="shared" si="5"/>
        <v>8675963.9700000007</v>
      </c>
      <c r="K31" s="17">
        <f t="shared" si="5"/>
        <v>8319725.8799999999</v>
      </c>
      <c r="L31" s="17">
        <f t="shared" si="5"/>
        <v>8112075.9800000004</v>
      </c>
      <c r="M31" s="17">
        <f t="shared" si="5"/>
        <v>9442134.8199999984</v>
      </c>
      <c r="N31" s="17">
        <f t="shared" si="5"/>
        <v>11423652.91</v>
      </c>
      <c r="O31" s="17">
        <f t="shared" si="5"/>
        <v>7283220.8100000015</v>
      </c>
    </row>
    <row r="32" spans="1:15">
      <c r="A32" s="5" t="s">
        <v>22</v>
      </c>
      <c r="B32" s="5"/>
      <c r="C32" s="13">
        <f t="shared" si="3"/>
        <v>0</v>
      </c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</row>
    <row r="33" spans="1:15">
      <c r="A33" s="5" t="s">
        <v>23</v>
      </c>
      <c r="B33" s="5"/>
      <c r="C33" s="13">
        <f t="shared" si="3"/>
        <v>109028370.09999999</v>
      </c>
      <c r="D33" s="18">
        <f>D31+D32</f>
        <v>10456828.75</v>
      </c>
      <c r="E33" s="18">
        <f t="shared" ref="E33:O33" si="6">E31+E32</f>
        <v>7810614.9199999999</v>
      </c>
      <c r="F33" s="18">
        <f t="shared" si="6"/>
        <v>8737446.3599999994</v>
      </c>
      <c r="G33" s="18">
        <f t="shared" si="6"/>
        <v>11515286.49</v>
      </c>
      <c r="H33" s="18">
        <f t="shared" si="6"/>
        <v>8172315.3299999982</v>
      </c>
      <c r="I33" s="18">
        <f t="shared" si="6"/>
        <v>9079103.8800000008</v>
      </c>
      <c r="J33" s="18">
        <f t="shared" si="6"/>
        <v>8675963.9700000007</v>
      </c>
      <c r="K33" s="18">
        <f t="shared" si="6"/>
        <v>8319725.8799999999</v>
      </c>
      <c r="L33" s="18">
        <f t="shared" si="6"/>
        <v>8112075.9800000004</v>
      </c>
      <c r="M33" s="18">
        <f t="shared" si="6"/>
        <v>9442134.8199999984</v>
      </c>
      <c r="N33" s="18">
        <f t="shared" si="6"/>
        <v>11423652.91</v>
      </c>
      <c r="O33" s="18">
        <f t="shared" si="6"/>
        <v>7283220.8100000015</v>
      </c>
    </row>
    <row r="34" spans="1:15">
      <c r="A34" s="5" t="s">
        <v>24</v>
      </c>
      <c r="B34" s="5"/>
      <c r="C34" s="13">
        <f>SUM(D34:O34)</f>
        <v>1330000</v>
      </c>
      <c r="D34" s="62">
        <f>880000</f>
        <v>880000</v>
      </c>
      <c r="E34" s="62"/>
      <c r="F34" s="62"/>
      <c r="G34" s="62">
        <v>350000</v>
      </c>
      <c r="H34" s="62"/>
      <c r="I34" s="62"/>
      <c r="J34" s="62"/>
      <c r="K34" s="62"/>
      <c r="L34" s="62"/>
      <c r="M34" s="62"/>
      <c r="N34" s="62">
        <v>100000</v>
      </c>
      <c r="O34" s="62"/>
    </row>
    <row r="35" spans="1:15">
      <c r="A35" s="5" t="s">
        <v>722</v>
      </c>
      <c r="B35" s="5"/>
      <c r="C35" s="13">
        <f>SUM(D35:O35)</f>
        <v>107698370.09999999</v>
      </c>
      <c r="D35" s="18">
        <f>D33-D34</f>
        <v>9576828.75</v>
      </c>
      <c r="E35" s="18">
        <f>E33-E34</f>
        <v>7810614.9199999999</v>
      </c>
      <c r="F35" s="18">
        <f>F33-F34</f>
        <v>8737446.3599999994</v>
      </c>
      <c r="G35" s="18">
        <f>G33-G34</f>
        <v>11165286.49</v>
      </c>
      <c r="H35" s="18">
        <f>H33-H34</f>
        <v>8172315.3299999982</v>
      </c>
      <c r="I35" s="18">
        <f t="shared" ref="I35:O35" si="7">I33-I34</f>
        <v>9079103.8800000008</v>
      </c>
      <c r="J35" s="18">
        <f t="shared" si="7"/>
        <v>8675963.9700000007</v>
      </c>
      <c r="K35" s="18">
        <f t="shared" si="7"/>
        <v>8319725.8799999999</v>
      </c>
      <c r="L35" s="18">
        <f t="shared" si="7"/>
        <v>8112075.9800000004</v>
      </c>
      <c r="M35" s="18">
        <f t="shared" si="7"/>
        <v>9442134.8199999984</v>
      </c>
      <c r="N35" s="18">
        <f t="shared" si="7"/>
        <v>11323652.91</v>
      </c>
      <c r="O35" s="18">
        <f t="shared" si="7"/>
        <v>7283220.8100000015</v>
      </c>
    </row>
    <row r="36" spans="1:15">
      <c r="A36" s="5" t="s">
        <v>25</v>
      </c>
      <c r="B36" s="5"/>
      <c r="C36" s="13">
        <f t="shared" si="3"/>
        <v>0</v>
      </c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 s="2" customFormat="1">
      <c r="A37" s="9" t="s">
        <v>26</v>
      </c>
      <c r="B37" s="9"/>
      <c r="C37" s="16">
        <f>SUM(D37:O37)</f>
        <v>107698370.09999999</v>
      </c>
      <c r="D37" s="17">
        <f>D35-D36</f>
        <v>9576828.75</v>
      </c>
      <c r="E37" s="17">
        <f t="shared" ref="E37:O37" si="8">E35-E36</f>
        <v>7810614.9199999999</v>
      </c>
      <c r="F37" s="17">
        <f t="shared" si="8"/>
        <v>8737446.3599999994</v>
      </c>
      <c r="G37" s="17">
        <f t="shared" si="8"/>
        <v>11165286.49</v>
      </c>
      <c r="H37" s="17">
        <f t="shared" si="8"/>
        <v>8172315.3299999982</v>
      </c>
      <c r="I37" s="17">
        <f t="shared" si="8"/>
        <v>9079103.8800000008</v>
      </c>
      <c r="J37" s="17">
        <f t="shared" si="8"/>
        <v>8675963.9700000007</v>
      </c>
      <c r="K37" s="17">
        <f t="shared" si="8"/>
        <v>8319725.8799999999</v>
      </c>
      <c r="L37" s="17">
        <f t="shared" si="8"/>
        <v>8112075.9800000004</v>
      </c>
      <c r="M37" s="17">
        <f t="shared" si="8"/>
        <v>9442134.8199999984</v>
      </c>
      <c r="N37" s="17">
        <f t="shared" si="8"/>
        <v>11323652.91</v>
      </c>
      <c r="O37" s="17">
        <f t="shared" si="8"/>
        <v>7283220.8100000015</v>
      </c>
    </row>
    <row r="38" spans="1:15" s="3" customFormat="1" ht="8.25">
      <c r="A38" s="3" t="s">
        <v>963</v>
      </c>
      <c r="B38" s="359"/>
      <c r="C38" s="357">
        <f>108578370.1-880000</f>
        <v>107698370.09999999</v>
      </c>
      <c r="D38" s="357">
        <f>10456828.75-D37</f>
        <v>880000</v>
      </c>
      <c r="E38" s="357">
        <f>7810614.92-E37</f>
        <v>0</v>
      </c>
      <c r="F38" s="357">
        <f>8737446.36-F37</f>
        <v>0</v>
      </c>
      <c r="G38" s="357">
        <f>11515286.49-G37</f>
        <v>350000</v>
      </c>
      <c r="H38" s="357">
        <f>8172315.33-H37</f>
        <v>0</v>
      </c>
      <c r="I38" s="357">
        <f>9079103.88-I37</f>
        <v>0</v>
      </c>
    </row>
    <row r="39" spans="1:15" s="24" customFormat="1" ht="8.25">
      <c r="A39" s="24" t="s">
        <v>27</v>
      </c>
    </row>
    <row r="40" spans="1:15" s="24" customFormat="1" ht="8.25">
      <c r="A40" s="24" t="s">
        <v>28</v>
      </c>
    </row>
    <row r="41" spans="1:15" s="24" customFormat="1" ht="8.25">
      <c r="A41" s="24" t="s">
        <v>29</v>
      </c>
    </row>
    <row r="42" spans="1:15">
      <c r="C42" s="373"/>
    </row>
    <row r="44" spans="1:15">
      <c r="A44" s="55" t="s">
        <v>103</v>
      </c>
      <c r="B44" s="54"/>
      <c r="C44" s="56" t="s">
        <v>104</v>
      </c>
      <c r="D44" s="56"/>
      <c r="E44" s="57"/>
      <c r="F44" s="55"/>
      <c r="G44" s="58" t="s">
        <v>105</v>
      </c>
      <c r="H44" s="58"/>
    </row>
    <row r="45" spans="1:15">
      <c r="A45" s="55" t="s">
        <v>106</v>
      </c>
      <c r="B45" s="54"/>
      <c r="C45" s="56" t="s">
        <v>107</v>
      </c>
      <c r="D45" s="56"/>
      <c r="E45" s="57"/>
      <c r="F45" s="55"/>
      <c r="G45" s="58" t="s">
        <v>108</v>
      </c>
      <c r="H45" s="58"/>
    </row>
  </sheetData>
  <mergeCells count="1">
    <mergeCell ref="C2:C3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W55"/>
  <sheetViews>
    <sheetView workbookViewId="0">
      <selection activeCell="H52" sqref="H52"/>
    </sheetView>
  </sheetViews>
  <sheetFormatPr defaultRowHeight="8.25"/>
  <cols>
    <col min="1" max="1" width="31.140625" style="3" customWidth="1"/>
    <col min="2" max="7" width="9.140625" style="3"/>
    <col min="8" max="8" width="12.28515625" style="3" bestFit="1" customWidth="1"/>
    <col min="9" max="10" width="11" style="3" bestFit="1" customWidth="1"/>
    <col min="11" max="11" width="11.140625" style="3" bestFit="1" customWidth="1"/>
    <col min="12" max="12" width="11.42578125" style="3" customWidth="1"/>
    <col min="13" max="13" width="11.42578125" style="3" bestFit="1" customWidth="1"/>
    <col min="14" max="14" width="11.140625" style="3" bestFit="1" customWidth="1"/>
    <col min="15" max="15" width="10.85546875" style="3" bestFit="1" customWidth="1"/>
    <col min="16" max="16" width="11.42578125" style="3" customWidth="1"/>
    <col min="17" max="17" width="11.140625" style="3" bestFit="1" customWidth="1"/>
    <col min="18" max="18" width="12.42578125" style="3" customWidth="1"/>
    <col min="19" max="19" width="11.85546875" style="3" bestFit="1" customWidth="1"/>
    <col min="20" max="20" width="11" style="3" bestFit="1" customWidth="1"/>
    <col min="21" max="16384" width="9.140625" style="3"/>
  </cols>
  <sheetData>
    <row r="1" spans="1:23" ht="11.25">
      <c r="B1" s="24" t="s">
        <v>48</v>
      </c>
      <c r="H1" s="2" t="s">
        <v>515</v>
      </c>
      <c r="I1" s="2"/>
      <c r="K1" s="359" t="s">
        <v>509</v>
      </c>
      <c r="L1" s="455"/>
      <c r="M1" s="24" t="s">
        <v>48</v>
      </c>
      <c r="R1" s="2" t="s">
        <v>515</v>
      </c>
      <c r="W1" s="359" t="s">
        <v>510</v>
      </c>
    </row>
    <row r="2" spans="1:23">
      <c r="A2" s="35" t="s">
        <v>49</v>
      </c>
      <c r="B2" s="35"/>
      <c r="C2" s="35"/>
      <c r="D2" s="35"/>
      <c r="E2" s="35"/>
      <c r="F2" s="35"/>
      <c r="G2" s="35"/>
      <c r="H2" s="357"/>
      <c r="L2" s="455"/>
      <c r="M2" s="357"/>
      <c r="N2" s="357"/>
    </row>
    <row r="3" spans="1:23">
      <c r="A3" s="22" t="s">
        <v>50</v>
      </c>
      <c r="B3" s="25" t="s">
        <v>511</v>
      </c>
      <c r="C3" s="25"/>
      <c r="D3" s="25"/>
      <c r="E3" s="25"/>
      <c r="F3" s="25"/>
      <c r="G3" s="25"/>
      <c r="H3" s="47" t="s">
        <v>95</v>
      </c>
      <c r="I3" s="42">
        <f>RCL!D2</f>
        <v>44470</v>
      </c>
      <c r="J3" s="44">
        <f>RCL!E2</f>
        <v>44440</v>
      </c>
      <c r="K3" s="42">
        <f>RCL!F2</f>
        <v>44409</v>
      </c>
      <c r="L3" s="42">
        <f>RCL!G2</f>
        <v>44378</v>
      </c>
      <c r="M3" s="44">
        <f>RCL!H2</f>
        <v>44348</v>
      </c>
      <c r="N3" s="42">
        <f>RCL!I2</f>
        <v>44317</v>
      </c>
      <c r="O3" s="44">
        <f>RCL!J2</f>
        <v>44287</v>
      </c>
      <c r="P3" s="42">
        <f>RCL!K2</f>
        <v>44256</v>
      </c>
      <c r="Q3" s="44">
        <f>RCL!L2</f>
        <v>44228</v>
      </c>
      <c r="R3" s="42">
        <f>RCL!M2</f>
        <v>44197</v>
      </c>
      <c r="S3" s="44">
        <f>RCL!N2</f>
        <v>44166</v>
      </c>
      <c r="T3" s="42">
        <f>RCL!O2</f>
        <v>44136</v>
      </c>
    </row>
    <row r="4" spans="1:23">
      <c r="A4" s="10" t="s">
        <v>44</v>
      </c>
      <c r="B4" s="360" t="s">
        <v>98</v>
      </c>
      <c r="C4" s="25"/>
      <c r="D4" s="25"/>
      <c r="E4" s="25"/>
      <c r="F4" s="25"/>
      <c r="G4" s="32" t="s">
        <v>86</v>
      </c>
      <c r="H4" s="48" t="s">
        <v>96</v>
      </c>
      <c r="I4" s="43" t="s">
        <v>38</v>
      </c>
      <c r="J4" s="41" t="s">
        <v>39</v>
      </c>
      <c r="K4" s="43" t="s">
        <v>40</v>
      </c>
      <c r="L4" s="43" t="s">
        <v>41</v>
      </c>
      <c r="M4" s="41" t="s">
        <v>42</v>
      </c>
      <c r="N4" s="43" t="s">
        <v>43</v>
      </c>
      <c r="O4" s="41" t="s">
        <v>89</v>
      </c>
      <c r="P4" s="43" t="s">
        <v>90</v>
      </c>
      <c r="Q4" s="41" t="s">
        <v>91</v>
      </c>
      <c r="R4" s="43" t="s">
        <v>92</v>
      </c>
      <c r="S4" s="41" t="s">
        <v>93</v>
      </c>
      <c r="T4" s="43" t="s">
        <v>94</v>
      </c>
    </row>
    <row r="5" spans="1:23" s="24" customFormat="1">
      <c r="A5" s="40" t="s">
        <v>51</v>
      </c>
      <c r="B5" s="36"/>
      <c r="C5" s="37"/>
      <c r="D5" s="37"/>
      <c r="E5" s="37"/>
      <c r="F5" s="37"/>
      <c r="G5" s="37"/>
      <c r="H5" s="354">
        <f>SUM(I5:T5)</f>
        <v>94196363.790000021</v>
      </c>
      <c r="I5" s="175">
        <f>I6+I7</f>
        <v>7307481.9400000004</v>
      </c>
      <c r="J5" s="175">
        <f t="shared" ref="J5:T5" si="0">J6+J7</f>
        <v>7201087.4400000004</v>
      </c>
      <c r="K5" s="175">
        <f t="shared" si="0"/>
        <v>7291245.2999999998</v>
      </c>
      <c r="L5" s="175">
        <f>L6+L7</f>
        <v>7457935.1899999995</v>
      </c>
      <c r="M5" s="175">
        <f t="shared" si="0"/>
        <v>7299492.0199999996</v>
      </c>
      <c r="N5" s="175">
        <f t="shared" si="0"/>
        <v>7278817.8399999999</v>
      </c>
      <c r="O5" s="175">
        <f t="shared" si="0"/>
        <v>7237452.4900000002</v>
      </c>
      <c r="P5" s="175">
        <f t="shared" si="0"/>
        <v>7701416.3200000003</v>
      </c>
      <c r="Q5" s="175">
        <f t="shared" si="0"/>
        <v>7539150.8300000001</v>
      </c>
      <c r="R5" s="175">
        <f t="shared" si="0"/>
        <v>7252406.9000000004</v>
      </c>
      <c r="S5" s="175">
        <f t="shared" si="0"/>
        <v>13900533.26</v>
      </c>
      <c r="T5" s="175">
        <f t="shared" si="0"/>
        <v>6729344.2599999998</v>
      </c>
    </row>
    <row r="6" spans="1:23">
      <c r="A6" s="10" t="s">
        <v>52</v>
      </c>
      <c r="B6" s="22"/>
      <c r="C6" s="25"/>
      <c r="D6" s="25"/>
      <c r="E6" s="25"/>
      <c r="F6" s="25"/>
      <c r="G6" s="23" t="s">
        <v>116</v>
      </c>
      <c r="H6" s="46">
        <f>SUM(I6:T6)</f>
        <v>93214777.480000019</v>
      </c>
      <c r="I6" s="45">
        <v>7235984.9400000004</v>
      </c>
      <c r="J6" s="45">
        <f>7106261.44</f>
        <v>7106261.4400000004</v>
      </c>
      <c r="K6" s="45">
        <f>7167386.63</f>
        <v>7167386.6299999999</v>
      </c>
      <c r="L6" s="45">
        <f>7526337.83-236922.78</f>
        <v>7289415.0499999998</v>
      </c>
      <c r="M6" s="45">
        <f>7170867.52</f>
        <v>7170867.5199999996</v>
      </c>
      <c r="N6" s="45">
        <f>7046389.84</f>
        <v>7046389.8399999999</v>
      </c>
      <c r="O6" s="45">
        <f>7237452.49</f>
        <v>7237452.4900000002</v>
      </c>
      <c r="P6" s="45">
        <v>7577072.3200000003</v>
      </c>
      <c r="Q6" s="45">
        <f>7501662.83</f>
        <v>7501662.8300000001</v>
      </c>
      <c r="R6" s="45">
        <v>7252406.9000000004</v>
      </c>
      <c r="S6" s="51">
        <v>13900533.26</v>
      </c>
      <c r="T6" s="45">
        <f>6729344.26</f>
        <v>6729344.2599999998</v>
      </c>
    </row>
    <row r="7" spans="1:23">
      <c r="A7" s="10" t="s">
        <v>53</v>
      </c>
      <c r="B7" s="19"/>
      <c r="C7" s="35"/>
      <c r="D7" s="35"/>
      <c r="E7" s="35"/>
      <c r="F7" s="35"/>
      <c r="G7" s="20" t="s">
        <v>117</v>
      </c>
      <c r="H7" s="46">
        <f t="shared" ref="H7:H47" si="1">SUM(I7:T7)</f>
        <v>981586.31</v>
      </c>
      <c r="I7" s="51">
        <v>71497</v>
      </c>
      <c r="J7" s="51">
        <f>94826</f>
        <v>94826</v>
      </c>
      <c r="K7" s="51">
        <f>123858.67</f>
        <v>123858.67</v>
      </c>
      <c r="L7" s="51">
        <v>168520.14</v>
      </c>
      <c r="M7" s="51">
        <f>128624.5</f>
        <v>128624.5</v>
      </c>
      <c r="N7" s="51">
        <f>232428</f>
        <v>232428</v>
      </c>
      <c r="O7" s="10"/>
      <c r="P7" s="353">
        <v>124344</v>
      </c>
      <c r="Q7" s="353">
        <v>37488</v>
      </c>
      <c r="R7" s="353"/>
      <c r="S7" s="10"/>
      <c r="T7" s="10"/>
    </row>
    <row r="8" spans="1:23" s="24" customFormat="1">
      <c r="A8" s="32" t="s">
        <v>5</v>
      </c>
      <c r="B8" s="32"/>
      <c r="C8" s="33"/>
      <c r="D8" s="33"/>
      <c r="E8" s="33"/>
      <c r="F8" s="33"/>
      <c r="G8" s="34"/>
      <c r="H8" s="46">
        <f>SUM(I8:T8)</f>
        <v>29165943.399999999</v>
      </c>
      <c r="I8" s="49">
        <f>SUM(I9:I23)</f>
        <v>1927648.5899999999</v>
      </c>
      <c r="J8" s="49">
        <f>SUM(J9:J23)</f>
        <v>1936051.9</v>
      </c>
      <c r="K8" s="49">
        <f>SUM(K9:K23)</f>
        <v>2131854.31</v>
      </c>
      <c r="L8" s="49">
        <f>SUM(L9:L23)</f>
        <v>2152315.44</v>
      </c>
      <c r="M8" s="49">
        <f>SUM(M9:M23)</f>
        <v>2015189.95</v>
      </c>
      <c r="N8" s="49">
        <f t="shared" ref="N8:T8" si="2">SUM(N9:N23)</f>
        <v>1893136.98</v>
      </c>
      <c r="O8" s="49">
        <f t="shared" si="2"/>
        <v>2101713.59</v>
      </c>
      <c r="P8" s="49">
        <f t="shared" si="2"/>
        <v>2293464.94</v>
      </c>
      <c r="Q8" s="49">
        <f t="shared" si="2"/>
        <v>2261954.9500000002</v>
      </c>
      <c r="R8" s="49">
        <f t="shared" si="2"/>
        <v>2206181.33</v>
      </c>
      <c r="S8" s="49">
        <f t="shared" si="2"/>
        <v>5453631.7999999998</v>
      </c>
      <c r="T8" s="49">
        <f t="shared" si="2"/>
        <v>2792799.6199999996</v>
      </c>
    </row>
    <row r="9" spans="1:23">
      <c r="A9" s="22" t="s">
        <v>102</v>
      </c>
      <c r="B9" s="19"/>
      <c r="C9" s="35"/>
      <c r="D9" s="35"/>
      <c r="E9" s="35"/>
      <c r="F9" s="35"/>
      <c r="G9" s="10" t="s">
        <v>109</v>
      </c>
      <c r="H9" s="46">
        <f t="shared" si="1"/>
        <v>21122405.620000001</v>
      </c>
      <c r="I9" s="51">
        <v>1651696.41</v>
      </c>
      <c r="J9" s="51">
        <f>1649833.24</f>
        <v>1649833.24</v>
      </c>
      <c r="K9" s="51">
        <f>1648483.54</f>
        <v>1648483.54</v>
      </c>
      <c r="L9" s="51">
        <v>1652132.24</v>
      </c>
      <c r="M9" s="51">
        <f>1649294.67</f>
        <v>1649294.67</v>
      </c>
      <c r="N9" s="51">
        <f>1642118.8</f>
        <v>1642118.8</v>
      </c>
      <c r="O9" s="51">
        <f>1638614.89</f>
        <v>1638614.89</v>
      </c>
      <c r="P9" s="51">
        <f>1695217.98</f>
        <v>1695217.98</v>
      </c>
      <c r="Q9" s="51">
        <f>1674599.82</f>
        <v>1674599.82</v>
      </c>
      <c r="R9" s="51">
        <v>1578605.84</v>
      </c>
      <c r="S9" s="51">
        <v>3078459.2</v>
      </c>
      <c r="T9" s="51">
        <v>1563348.99</v>
      </c>
    </row>
    <row r="10" spans="1:23">
      <c r="A10" s="22" t="s">
        <v>54</v>
      </c>
      <c r="B10" s="22"/>
      <c r="C10" s="25"/>
      <c r="D10" s="25"/>
      <c r="E10" s="25"/>
      <c r="F10" s="25"/>
      <c r="G10" s="10" t="s">
        <v>110</v>
      </c>
      <c r="H10" s="46">
        <f t="shared" si="1"/>
        <v>2729945.0300000003</v>
      </c>
      <c r="I10" s="51">
        <v>214871</v>
      </c>
      <c r="J10" s="51">
        <f>214871</f>
        <v>214871</v>
      </c>
      <c r="K10" s="51">
        <f>214871</f>
        <v>214871</v>
      </c>
      <c r="L10" s="51">
        <v>231683.43</v>
      </c>
      <c r="M10" s="51">
        <f>210844.25</f>
        <v>210844.25</v>
      </c>
      <c r="N10" s="51">
        <f>210918.91</f>
        <v>210918.91</v>
      </c>
      <c r="O10" s="51">
        <f>209700.26</f>
        <v>209700.26</v>
      </c>
      <c r="P10" s="51">
        <f>219471.11</f>
        <v>219471.11</v>
      </c>
      <c r="Q10" s="51">
        <f>222290.44</f>
        <v>222290.44</v>
      </c>
      <c r="R10" s="51">
        <f>196354.43</f>
        <v>196354.43</v>
      </c>
      <c r="S10" s="51">
        <v>388793.29</v>
      </c>
      <c r="T10" s="51">
        <v>195275.91</v>
      </c>
    </row>
    <row r="11" spans="1:23">
      <c r="A11" s="22" t="s">
        <v>55</v>
      </c>
      <c r="B11" s="19"/>
      <c r="C11" s="35"/>
      <c r="D11" s="35"/>
      <c r="E11" s="35"/>
      <c r="F11" s="35"/>
      <c r="G11" s="10" t="s">
        <v>112</v>
      </c>
      <c r="H11" s="46">
        <f t="shared" si="1"/>
        <v>0</v>
      </c>
      <c r="I11" s="10"/>
      <c r="J11" s="10"/>
      <c r="K11" s="10"/>
      <c r="L11" s="10"/>
      <c r="M11" s="10"/>
      <c r="N11" s="10"/>
      <c r="O11" s="10"/>
      <c r="P11" s="10"/>
      <c r="Q11" s="356"/>
      <c r="R11" s="10"/>
      <c r="S11" s="10"/>
      <c r="T11" s="10"/>
    </row>
    <row r="12" spans="1:23">
      <c r="A12" s="22" t="s">
        <v>56</v>
      </c>
      <c r="B12" s="22"/>
      <c r="C12" s="25"/>
      <c r="D12" s="25"/>
      <c r="E12" s="25"/>
      <c r="F12" s="25"/>
      <c r="G12" s="10" t="s">
        <v>111</v>
      </c>
      <c r="H12" s="46">
        <f t="shared" si="1"/>
        <v>0</v>
      </c>
      <c r="I12" s="10"/>
      <c r="J12" s="10"/>
      <c r="K12" s="10"/>
      <c r="L12" s="10"/>
      <c r="M12" s="10"/>
      <c r="N12" s="10"/>
      <c r="O12" s="10"/>
      <c r="P12" s="10"/>
      <c r="Q12" s="15"/>
      <c r="R12" s="15"/>
      <c r="S12" s="15"/>
      <c r="T12" s="15"/>
    </row>
    <row r="13" spans="1:23">
      <c r="A13" s="22" t="s">
        <v>57</v>
      </c>
      <c r="B13" s="19"/>
      <c r="C13" s="35"/>
      <c r="D13" s="35"/>
      <c r="E13" s="35"/>
      <c r="F13" s="35"/>
      <c r="G13" s="10" t="s">
        <v>113</v>
      </c>
      <c r="H13" s="46">
        <f t="shared" si="1"/>
        <v>0</v>
      </c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</row>
    <row r="14" spans="1:23">
      <c r="A14" s="27" t="s">
        <v>58</v>
      </c>
      <c r="B14" s="27"/>
      <c r="C14" s="28"/>
      <c r="D14" s="28"/>
      <c r="E14" s="28"/>
      <c r="F14" s="28"/>
      <c r="G14" s="10" t="s">
        <v>101</v>
      </c>
      <c r="H14" s="46">
        <f t="shared" si="1"/>
        <v>2458127.94</v>
      </c>
      <c r="I14" s="62">
        <v>61081.18</v>
      </c>
      <c r="J14" s="62">
        <f>71347.66</f>
        <v>71347.66</v>
      </c>
      <c r="K14" s="62">
        <v>268499.77</v>
      </c>
      <c r="L14" s="62">
        <v>268499.77</v>
      </c>
      <c r="M14" s="62">
        <f>155051.03</f>
        <v>155051.03</v>
      </c>
      <c r="N14" s="62">
        <f>40099.27</f>
        <v>40099.269999999997</v>
      </c>
      <c r="O14" s="62">
        <f>253398.44</f>
        <v>253398.44</v>
      </c>
      <c r="P14" s="62">
        <f>378775.85</f>
        <v>378775.85</v>
      </c>
      <c r="Q14" s="62">
        <v>365064.69</v>
      </c>
      <c r="R14" s="62">
        <v>431221.06</v>
      </c>
      <c r="S14" s="62">
        <f>127016.84</f>
        <v>127016.84</v>
      </c>
      <c r="T14" s="62">
        <f>38072.38</f>
        <v>38072.379999999997</v>
      </c>
    </row>
    <row r="15" spans="1:23">
      <c r="A15" s="52" t="s">
        <v>100</v>
      </c>
      <c r="B15" s="53"/>
      <c r="C15" s="25"/>
      <c r="D15" s="25"/>
      <c r="E15" s="25"/>
      <c r="F15" s="25"/>
      <c r="G15" s="10" t="s">
        <v>99</v>
      </c>
      <c r="H15" s="46">
        <f t="shared" si="1"/>
        <v>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</row>
    <row r="16" spans="1:23" ht="16.5">
      <c r="A16" s="347" t="s">
        <v>507</v>
      </c>
      <c r="B16" s="346"/>
      <c r="C16" s="25"/>
      <c r="D16" s="25"/>
      <c r="E16" s="25"/>
      <c r="F16" s="25"/>
      <c r="G16" s="348" t="s">
        <v>506</v>
      </c>
      <c r="H16" s="355">
        <f>SUM(I16:T16)</f>
        <v>0</v>
      </c>
      <c r="I16" s="10"/>
      <c r="J16" s="10"/>
      <c r="K16" s="10"/>
      <c r="L16" s="10"/>
      <c r="M16" s="10"/>
      <c r="N16" s="10"/>
      <c r="O16" s="10"/>
      <c r="P16" s="10"/>
      <c r="Q16" s="10"/>
      <c r="R16" s="22"/>
      <c r="S16" s="62"/>
      <c r="T16" s="62"/>
    </row>
    <row r="17" spans="1:20" ht="16.5">
      <c r="A17" s="347" t="s">
        <v>504</v>
      </c>
      <c r="B17" s="346"/>
      <c r="C17" s="25"/>
      <c r="D17" s="25"/>
      <c r="E17" s="25"/>
      <c r="F17" s="25"/>
      <c r="G17" s="348" t="s">
        <v>490</v>
      </c>
      <c r="H17" s="46">
        <f>SUM(I17:T17)</f>
        <v>3135</v>
      </c>
      <c r="I17" s="10"/>
      <c r="J17" s="10"/>
      <c r="K17" s="10"/>
      <c r="L17" s="10"/>
      <c r="M17" s="10"/>
      <c r="N17" s="10"/>
      <c r="O17" s="10"/>
      <c r="P17" s="10"/>
      <c r="Q17" s="10"/>
      <c r="R17" s="22"/>
      <c r="S17" s="62">
        <f>1045</f>
        <v>1045</v>
      </c>
      <c r="T17" s="62">
        <v>2090</v>
      </c>
    </row>
    <row r="18" spans="1:20">
      <c r="A18" s="347" t="s">
        <v>492</v>
      </c>
      <c r="B18" s="346"/>
      <c r="C18" s="25"/>
      <c r="D18" s="25"/>
      <c r="E18" s="25"/>
      <c r="F18" s="25"/>
      <c r="G18" s="348" t="s">
        <v>491</v>
      </c>
      <c r="H18" s="46">
        <f>SUM(I18:T18)</f>
        <v>51183.94</v>
      </c>
      <c r="I18" s="10"/>
      <c r="J18" s="10"/>
      <c r="K18" s="10"/>
      <c r="L18" s="10"/>
      <c r="M18" s="10"/>
      <c r="N18" s="10"/>
      <c r="O18" s="10"/>
      <c r="P18" s="10"/>
      <c r="Q18" s="10"/>
      <c r="R18" s="22"/>
      <c r="S18" s="105">
        <f>38202.42</f>
        <v>38202.42</v>
      </c>
      <c r="T18" s="105">
        <v>12981.52</v>
      </c>
    </row>
    <row r="19" spans="1:20">
      <c r="A19" s="347" t="s">
        <v>494</v>
      </c>
      <c r="B19" s="346"/>
      <c r="C19" s="25"/>
      <c r="D19" s="25"/>
      <c r="E19" s="25"/>
      <c r="F19" s="25"/>
      <c r="G19" s="348" t="s">
        <v>493</v>
      </c>
      <c r="H19" s="46">
        <f t="shared" si="1"/>
        <v>2671.84</v>
      </c>
      <c r="I19" s="10"/>
      <c r="J19" s="10"/>
      <c r="K19" s="10"/>
      <c r="L19" s="10"/>
      <c r="M19" s="10"/>
      <c r="N19" s="10"/>
      <c r="O19" s="10"/>
      <c r="P19" s="10"/>
      <c r="Q19" s="10"/>
      <c r="R19" s="22"/>
      <c r="S19" s="62">
        <f>1335.92</f>
        <v>1335.92</v>
      </c>
      <c r="T19" s="62">
        <v>1335.92</v>
      </c>
    </row>
    <row r="20" spans="1:20" ht="16.5">
      <c r="A20" s="347" t="s">
        <v>496</v>
      </c>
      <c r="B20" s="346"/>
      <c r="C20" s="25"/>
      <c r="D20" s="25"/>
      <c r="E20" s="25"/>
      <c r="F20" s="25"/>
      <c r="G20" s="348" t="s">
        <v>495</v>
      </c>
      <c r="H20" s="46">
        <f t="shared" si="1"/>
        <v>23845.46</v>
      </c>
      <c r="I20" s="10"/>
      <c r="J20" s="10"/>
      <c r="K20" s="10"/>
      <c r="L20" s="10"/>
      <c r="M20" s="10"/>
      <c r="N20" s="10"/>
      <c r="O20" s="10"/>
      <c r="P20" s="10"/>
      <c r="Q20" s="10"/>
      <c r="R20" s="22"/>
      <c r="S20" s="105">
        <v>15801.22</v>
      </c>
      <c r="T20" s="105">
        <f>8044.24</f>
        <v>8044.24</v>
      </c>
    </row>
    <row r="21" spans="1:20" ht="16.5">
      <c r="A21" s="347" t="s">
        <v>505</v>
      </c>
      <c r="B21" s="346"/>
      <c r="C21" s="25"/>
      <c r="D21" s="25"/>
      <c r="E21" s="25"/>
      <c r="F21" s="25"/>
      <c r="G21" s="348" t="s">
        <v>497</v>
      </c>
      <c r="H21" s="46">
        <f t="shared" si="1"/>
        <v>270212</v>
      </c>
      <c r="I21" s="10"/>
      <c r="J21" s="10"/>
      <c r="K21" s="10"/>
      <c r="L21" s="10"/>
      <c r="M21" s="10"/>
      <c r="N21" s="10"/>
      <c r="O21" s="10"/>
      <c r="P21" s="10"/>
      <c r="Q21" s="10"/>
      <c r="R21" s="22"/>
      <c r="S21" s="62">
        <v>141295.99</v>
      </c>
      <c r="T21" s="62">
        <f>128916.01</f>
        <v>128916.01</v>
      </c>
    </row>
    <row r="22" spans="1:20" ht="16.5">
      <c r="A22" s="347" t="s">
        <v>499</v>
      </c>
      <c r="B22" s="53"/>
      <c r="C22" s="25"/>
      <c r="D22" s="25"/>
      <c r="E22" s="25"/>
      <c r="F22" s="25"/>
      <c r="G22" s="349" t="s">
        <v>498</v>
      </c>
      <c r="H22" s="46">
        <f t="shared" si="1"/>
        <v>1968407.2</v>
      </c>
      <c r="I22" s="10"/>
      <c r="J22" s="10"/>
      <c r="K22" s="10"/>
      <c r="L22" s="10"/>
      <c r="M22" s="10"/>
      <c r="N22" s="10"/>
      <c r="O22" s="10"/>
      <c r="P22" s="10"/>
      <c r="Q22" s="10"/>
      <c r="R22" s="22"/>
      <c r="S22" s="62">
        <f>1308915.48</f>
        <v>1308915.48</v>
      </c>
      <c r="T22" s="62">
        <f>659491.72</f>
        <v>659491.72</v>
      </c>
    </row>
    <row r="23" spans="1:20">
      <c r="A23" s="52" t="s">
        <v>880</v>
      </c>
      <c r="B23" s="53"/>
      <c r="C23" s="25"/>
      <c r="D23" s="25"/>
      <c r="E23" s="25"/>
      <c r="F23" s="25"/>
      <c r="G23" s="10" t="s">
        <v>879</v>
      </c>
      <c r="H23" s="46">
        <f>SUM(I23:T23)</f>
        <v>536009.37</v>
      </c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>
        <f>RCL!N9</f>
        <v>352766.44</v>
      </c>
      <c r="T23" s="62">
        <f>RCL!O9</f>
        <v>183242.93</v>
      </c>
    </row>
    <row r="24" spans="1:20" s="24" customFormat="1">
      <c r="A24" s="40" t="s">
        <v>59</v>
      </c>
      <c r="B24" s="36"/>
      <c r="C24" s="37"/>
      <c r="D24" s="37"/>
      <c r="E24" s="37"/>
      <c r="F24" s="37"/>
      <c r="G24" s="15"/>
      <c r="H24" s="46">
        <f>SUM(I24:T24)</f>
        <v>65030420.390000008</v>
      </c>
      <c r="I24" s="50">
        <f t="shared" ref="I24" si="3">I5-I8</f>
        <v>5379833.3500000006</v>
      </c>
      <c r="J24" s="50">
        <f>J5-J8</f>
        <v>5265035.540000001</v>
      </c>
      <c r="K24" s="50">
        <f t="shared" ref="K24:T24" si="4">K5-K8</f>
        <v>5159390.99</v>
      </c>
      <c r="L24" s="50">
        <f t="shared" si="4"/>
        <v>5305619.75</v>
      </c>
      <c r="M24" s="50">
        <f t="shared" si="4"/>
        <v>5284302.0699999994</v>
      </c>
      <c r="N24" s="50">
        <f t="shared" si="4"/>
        <v>5385680.8599999994</v>
      </c>
      <c r="O24" s="50">
        <f t="shared" si="4"/>
        <v>5135738.9000000004</v>
      </c>
      <c r="P24" s="50">
        <f t="shared" si="4"/>
        <v>5407951.3800000008</v>
      </c>
      <c r="Q24" s="50">
        <f t="shared" si="4"/>
        <v>5277195.88</v>
      </c>
      <c r="R24" s="50">
        <f t="shared" si="4"/>
        <v>5046225.57</v>
      </c>
      <c r="S24" s="50">
        <f t="shared" si="4"/>
        <v>8446901.4600000009</v>
      </c>
      <c r="T24" s="50">
        <f t="shared" si="4"/>
        <v>3936544.64</v>
      </c>
    </row>
    <row r="25" spans="1:20">
      <c r="A25" s="10" t="s">
        <v>60</v>
      </c>
      <c r="B25" s="22"/>
      <c r="C25" s="25"/>
      <c r="D25" s="25"/>
      <c r="E25" s="25"/>
      <c r="F25" s="25"/>
      <c r="G25" s="10" t="s">
        <v>114</v>
      </c>
      <c r="H25" s="46">
        <f t="shared" si="1"/>
        <v>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</row>
    <row r="26" spans="1:20">
      <c r="A26" s="10" t="s">
        <v>61</v>
      </c>
      <c r="B26" s="19"/>
      <c r="C26" s="35"/>
      <c r="D26" s="35"/>
      <c r="E26" s="35"/>
      <c r="F26" s="35"/>
      <c r="G26" s="10" t="s">
        <v>115</v>
      </c>
      <c r="H26" s="46">
        <f t="shared" si="1"/>
        <v>0</v>
      </c>
      <c r="I26" s="10"/>
      <c r="J26" s="10"/>
      <c r="K26" s="10"/>
      <c r="L26" s="10"/>
      <c r="M26" s="10"/>
      <c r="N26" s="10"/>
      <c r="O26" s="353"/>
      <c r="P26" s="10"/>
      <c r="Q26" s="10"/>
      <c r="R26" s="10"/>
      <c r="S26" s="10"/>
      <c r="T26" s="10"/>
    </row>
    <row r="27" spans="1:20" s="24" customFormat="1">
      <c r="A27" s="15" t="s">
        <v>88</v>
      </c>
      <c r="B27" s="32"/>
      <c r="C27" s="33"/>
      <c r="D27" s="33"/>
      <c r="E27" s="33"/>
      <c r="F27" s="33"/>
      <c r="G27" s="34"/>
      <c r="H27" s="46">
        <f t="shared" si="1"/>
        <v>0</v>
      </c>
      <c r="I27" s="49">
        <f t="shared" ref="I27:N27" si="5">SUM(I25:I26)</f>
        <v>0</v>
      </c>
      <c r="J27" s="49">
        <f t="shared" si="5"/>
        <v>0</v>
      </c>
      <c r="K27" s="49">
        <f t="shared" si="5"/>
        <v>0</v>
      </c>
      <c r="L27" s="49">
        <f t="shared" si="5"/>
        <v>0</v>
      </c>
      <c r="M27" s="49">
        <f t="shared" si="5"/>
        <v>0</v>
      </c>
      <c r="N27" s="49">
        <f t="shared" si="5"/>
        <v>0</v>
      </c>
      <c r="O27" s="49">
        <f t="shared" ref="O27:T27" si="6">SUM(O25:O26)</f>
        <v>0</v>
      </c>
      <c r="P27" s="49">
        <f t="shared" si="6"/>
        <v>0</v>
      </c>
      <c r="Q27" s="49">
        <f t="shared" si="6"/>
        <v>0</v>
      </c>
      <c r="R27" s="49">
        <f t="shared" si="6"/>
        <v>0</v>
      </c>
      <c r="S27" s="49">
        <f t="shared" si="6"/>
        <v>0</v>
      </c>
      <c r="T27" s="49">
        <f t="shared" si="6"/>
        <v>0</v>
      </c>
    </row>
    <row r="28" spans="1:20">
      <c r="A28" s="10" t="s">
        <v>62</v>
      </c>
      <c r="B28" s="22" t="s">
        <v>87</v>
      </c>
      <c r="C28" s="25"/>
      <c r="D28" s="25"/>
      <c r="E28" s="25"/>
      <c r="F28" s="25"/>
      <c r="G28" s="10"/>
      <c r="H28" s="46">
        <f>SUM(I28:T28)</f>
        <v>113004.44999999925</v>
      </c>
      <c r="I28" s="356">
        <f>(7229419.31+71497)-(I6+I7)</f>
        <v>-6565.6300000008196</v>
      </c>
      <c r="J28" s="356">
        <f>(7097448.16+94826)-(J6+J7)</f>
        <v>-8813.2800000002608</v>
      </c>
      <c r="K28" s="356">
        <f>(7085042.58+123858.67)-(K6+K7)</f>
        <v>-82344.049999999814</v>
      </c>
      <c r="L28" s="356">
        <f>(7280601.77+109820.64)-(L6+L7)</f>
        <v>-67512.780000000261</v>
      </c>
      <c r="M28" s="356">
        <f>7154869.31-(M6+M70)</f>
        <v>-15998.209999999963</v>
      </c>
      <c r="N28" s="356">
        <f>7045109.36-N6+355000-N7</f>
        <v>121291.52000000048</v>
      </c>
      <c r="O28" s="356">
        <f>7228639.21-O6+1584-O7</f>
        <v>-7229.2800000002608</v>
      </c>
      <c r="P28" s="356">
        <f>7670632.48-P6+70000-P7</f>
        <v>39216.160000000149</v>
      </c>
      <c r="Q28" s="356">
        <f>7447735.4-Q6+155000-Q7</f>
        <v>63584.570000000298</v>
      </c>
      <c r="R28" s="356">
        <f>7329782.33-R6</f>
        <v>77375.429999999702</v>
      </c>
      <c r="S28" s="15"/>
      <c r="T28" s="15"/>
    </row>
    <row r="29" spans="1:20">
      <c r="A29" s="26" t="s">
        <v>63</v>
      </c>
      <c r="B29" s="27" t="s">
        <v>87</v>
      </c>
      <c r="C29" s="35"/>
      <c r="D29" s="35"/>
      <c r="E29" s="35"/>
      <c r="F29" s="35"/>
      <c r="G29" s="10"/>
      <c r="H29" s="46">
        <f t="shared" si="1"/>
        <v>0</v>
      </c>
      <c r="I29" s="51"/>
      <c r="J29" s="51"/>
      <c r="K29" s="51"/>
      <c r="L29" s="51"/>
      <c r="M29" s="51"/>
      <c r="N29" s="51"/>
      <c r="O29" s="353"/>
      <c r="P29" s="353"/>
      <c r="Q29" s="356"/>
      <c r="R29" s="356"/>
      <c r="S29" s="356"/>
      <c r="T29" s="356"/>
    </row>
    <row r="30" spans="1:20" s="24" customFormat="1">
      <c r="A30" s="32" t="s">
        <v>64</v>
      </c>
      <c r="B30" s="33"/>
      <c r="C30" s="33"/>
      <c r="D30" s="33"/>
      <c r="E30" s="33"/>
      <c r="F30" s="33"/>
      <c r="G30" s="358"/>
      <c r="H30" s="46">
        <f>SUM(I30:T30)</f>
        <v>113004.44999999925</v>
      </c>
      <c r="I30" s="49">
        <f>SUM(I28:I29)</f>
        <v>-6565.6300000008196</v>
      </c>
      <c r="J30" s="49">
        <f t="shared" ref="J30:N30" si="7">SUM(J28:J29)</f>
        <v>-8813.2800000002608</v>
      </c>
      <c r="K30" s="49">
        <f>SUM(K28:K29)</f>
        <v>-82344.049999999814</v>
      </c>
      <c r="L30" s="49">
        <f t="shared" si="7"/>
        <v>-67512.780000000261</v>
      </c>
      <c r="M30" s="49">
        <f t="shared" si="7"/>
        <v>-15998.209999999963</v>
      </c>
      <c r="N30" s="49">
        <f t="shared" si="7"/>
        <v>121291.52000000048</v>
      </c>
      <c r="O30" s="49">
        <f t="shared" ref="O30:T30" si="8">SUM(O28:O29)</f>
        <v>-7229.2800000002608</v>
      </c>
      <c r="P30" s="49">
        <f t="shared" si="8"/>
        <v>39216.160000000149</v>
      </c>
      <c r="Q30" s="49">
        <f t="shared" si="8"/>
        <v>63584.570000000298</v>
      </c>
      <c r="R30" s="49">
        <f t="shared" si="8"/>
        <v>77375.429999999702</v>
      </c>
      <c r="S30" s="49">
        <f t="shared" si="8"/>
        <v>0</v>
      </c>
      <c r="T30" s="49">
        <f t="shared" si="8"/>
        <v>0</v>
      </c>
    </row>
    <row r="31" spans="1:20">
      <c r="A31" s="29"/>
      <c r="B31" s="19" t="s">
        <v>65</v>
      </c>
      <c r="C31" s="35"/>
      <c r="D31" s="35"/>
      <c r="E31" s="35"/>
      <c r="F31" s="35"/>
      <c r="G31" s="10" t="s">
        <v>67</v>
      </c>
      <c r="H31" s="46">
        <f t="shared" si="1"/>
        <v>0</v>
      </c>
      <c r="I31" s="10"/>
      <c r="J31" s="10"/>
      <c r="K31" s="10"/>
      <c r="L31" s="10"/>
      <c r="M31" s="15"/>
      <c r="N31" s="15"/>
      <c r="O31" s="15"/>
      <c r="P31" s="15"/>
      <c r="Q31" s="15"/>
      <c r="R31" s="15"/>
      <c r="S31" s="15"/>
      <c r="T31" s="15"/>
    </row>
    <row r="32" spans="1:20">
      <c r="A32" s="29" t="s">
        <v>71</v>
      </c>
      <c r="B32" s="22" t="s">
        <v>66</v>
      </c>
      <c r="C32" s="25"/>
      <c r="D32" s="25"/>
      <c r="E32" s="25"/>
      <c r="F32" s="25"/>
      <c r="G32" s="10" t="s">
        <v>68</v>
      </c>
      <c r="H32" s="46">
        <f t="shared" si="1"/>
        <v>0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</row>
    <row r="33" spans="1:20">
      <c r="A33" s="30"/>
      <c r="B33" s="21" t="s">
        <v>69</v>
      </c>
      <c r="C33" s="31"/>
      <c r="D33" s="31"/>
      <c r="E33" s="31"/>
      <c r="F33" s="31"/>
      <c r="G33" s="10" t="s">
        <v>70</v>
      </c>
      <c r="H33" s="46">
        <f t="shared" si="1"/>
        <v>0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>
      <c r="A34" s="26"/>
      <c r="B34" s="27" t="s">
        <v>73</v>
      </c>
      <c r="C34" s="28"/>
      <c r="D34" s="28"/>
      <c r="E34" s="28"/>
      <c r="F34" s="28"/>
      <c r="G34" s="10" t="s">
        <v>74</v>
      </c>
      <c r="H34" s="46">
        <f t="shared" si="1"/>
        <v>0</v>
      </c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>
      <c r="A35" s="29" t="s">
        <v>72</v>
      </c>
      <c r="B35" s="22" t="s">
        <v>66</v>
      </c>
      <c r="C35" s="25"/>
      <c r="D35" s="25"/>
      <c r="E35" s="25"/>
      <c r="F35" s="25"/>
      <c r="G35" s="10" t="s">
        <v>68</v>
      </c>
      <c r="H35" s="46">
        <f t="shared" si="1"/>
        <v>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29"/>
      <c r="B36" s="21" t="s">
        <v>69</v>
      </c>
      <c r="C36" s="31"/>
      <c r="D36" s="31"/>
      <c r="E36" s="31"/>
      <c r="F36" s="31"/>
      <c r="G36" s="10" t="s">
        <v>70</v>
      </c>
      <c r="H36" s="46">
        <f t="shared" si="1"/>
        <v>0</v>
      </c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>
      <c r="A37" s="30"/>
      <c r="B37" s="22" t="s">
        <v>75</v>
      </c>
      <c r="C37" s="25"/>
      <c r="D37" s="25"/>
      <c r="E37" s="25"/>
      <c r="F37" s="25"/>
      <c r="G37" s="10" t="s">
        <v>76</v>
      </c>
      <c r="H37" s="46">
        <f t="shared" si="1"/>
        <v>0</v>
      </c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>
      <c r="A38" s="26"/>
      <c r="B38" s="27" t="s">
        <v>77</v>
      </c>
      <c r="C38" s="28"/>
      <c r="D38" s="28"/>
      <c r="E38" s="28"/>
      <c r="F38" s="28"/>
      <c r="G38" s="10" t="s">
        <v>78</v>
      </c>
      <c r="H38" s="46">
        <f t="shared" si="1"/>
        <v>0</v>
      </c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>
      <c r="A39" s="29"/>
      <c r="B39" s="22" t="s">
        <v>66</v>
      </c>
      <c r="C39" s="25"/>
      <c r="D39" s="25"/>
      <c r="E39" s="25"/>
      <c r="F39" s="25"/>
      <c r="G39" s="10" t="s">
        <v>68</v>
      </c>
      <c r="H39" s="46">
        <f t="shared" si="1"/>
        <v>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>
      <c r="A40" s="29" t="s">
        <v>724</v>
      </c>
      <c r="B40" s="21" t="s">
        <v>69</v>
      </c>
      <c r="C40" s="31"/>
      <c r="D40" s="31"/>
      <c r="E40" s="31"/>
      <c r="F40" s="31"/>
      <c r="G40" s="10" t="s">
        <v>70</v>
      </c>
      <c r="H40" s="46">
        <f t="shared" si="1"/>
        <v>0</v>
      </c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>
      <c r="A41" s="29"/>
      <c r="B41" s="22" t="s">
        <v>75</v>
      </c>
      <c r="C41" s="25"/>
      <c r="D41" s="25"/>
      <c r="E41" s="25"/>
      <c r="F41" s="25"/>
      <c r="G41" s="10" t="s">
        <v>76</v>
      </c>
      <c r="H41" s="46">
        <f t="shared" si="1"/>
        <v>0</v>
      </c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>
      <c r="A42" s="30"/>
      <c r="B42" s="22" t="s">
        <v>80</v>
      </c>
      <c r="C42" s="31"/>
      <c r="D42" s="31"/>
      <c r="E42" s="31"/>
      <c r="F42" s="31"/>
      <c r="G42" s="10" t="s">
        <v>79</v>
      </c>
      <c r="H42" s="46">
        <f t="shared" si="1"/>
        <v>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>
      <c r="A43" s="26"/>
      <c r="B43" s="22" t="s">
        <v>66</v>
      </c>
      <c r="C43" s="25"/>
      <c r="D43" s="25"/>
      <c r="E43" s="25"/>
      <c r="F43" s="25"/>
      <c r="G43" s="10" t="s">
        <v>68</v>
      </c>
      <c r="H43" s="46">
        <f t="shared" si="1"/>
        <v>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29"/>
      <c r="B44" s="21" t="s">
        <v>69</v>
      </c>
      <c r="C44" s="31"/>
      <c r="D44" s="31"/>
      <c r="E44" s="31"/>
      <c r="F44" s="31"/>
      <c r="G44" s="10" t="s">
        <v>70</v>
      </c>
      <c r="H44" s="46">
        <f t="shared" si="1"/>
        <v>0</v>
      </c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>
      <c r="A45" s="29" t="s">
        <v>725</v>
      </c>
      <c r="B45" s="22" t="s">
        <v>75</v>
      </c>
      <c r="C45" s="25"/>
      <c r="D45" s="25"/>
      <c r="E45" s="25"/>
      <c r="F45" s="25"/>
      <c r="G45" s="10" t="s">
        <v>76</v>
      </c>
      <c r="H45" s="46">
        <f t="shared" si="1"/>
        <v>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29"/>
      <c r="B46" s="22" t="s">
        <v>80</v>
      </c>
      <c r="C46" s="31"/>
      <c r="D46" s="31"/>
      <c r="E46" s="31"/>
      <c r="F46" s="31"/>
      <c r="G46" s="10" t="s">
        <v>79</v>
      </c>
      <c r="H46" s="46">
        <f t="shared" si="1"/>
        <v>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>
      <c r="A47" s="29"/>
      <c r="B47" s="22" t="s">
        <v>81</v>
      </c>
      <c r="C47" s="31"/>
      <c r="D47" s="31"/>
      <c r="E47" s="31"/>
      <c r="F47" s="31"/>
      <c r="G47" s="10" t="s">
        <v>82</v>
      </c>
      <c r="H47" s="46">
        <f t="shared" si="1"/>
        <v>0</v>
      </c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>
      <c r="A48" s="30"/>
      <c r="B48" s="22" t="s">
        <v>83</v>
      </c>
      <c r="C48" s="31"/>
      <c r="D48" s="31"/>
      <c r="E48" s="31"/>
      <c r="F48" s="31"/>
      <c r="G48" s="10" t="s">
        <v>84</v>
      </c>
      <c r="H48" s="46">
        <f>SUM(I48:T48)</f>
        <v>0</v>
      </c>
      <c r="I48" s="51"/>
      <c r="J48" s="51"/>
      <c r="K48" s="51"/>
      <c r="L48" s="51"/>
      <c r="M48" s="51"/>
      <c r="N48" s="51"/>
      <c r="O48" s="51"/>
      <c r="P48" s="51"/>
      <c r="Q48" s="51"/>
      <c r="R48" s="51"/>
      <c r="S48" s="51"/>
      <c r="T48" s="51"/>
    </row>
    <row r="49" spans="1:20" s="24" customFormat="1">
      <c r="A49" s="32" t="s">
        <v>85</v>
      </c>
      <c r="B49" s="33"/>
      <c r="C49" s="33" t="s">
        <v>508</v>
      </c>
      <c r="D49" s="33"/>
      <c r="E49" s="33"/>
      <c r="F49" s="33"/>
      <c r="G49" s="34"/>
      <c r="H49" s="46">
        <f>SUM(I49:T49)</f>
        <v>0</v>
      </c>
      <c r="I49" s="49">
        <f>SUM(I31:I48)</f>
        <v>0</v>
      </c>
      <c r="J49" s="49">
        <f t="shared" ref="J49:T49" si="9">SUM(J31:J48)</f>
        <v>0</v>
      </c>
      <c r="K49" s="49">
        <f t="shared" si="9"/>
        <v>0</v>
      </c>
      <c r="L49" s="49">
        <f t="shared" si="9"/>
        <v>0</v>
      </c>
      <c r="M49" s="49">
        <f t="shared" si="9"/>
        <v>0</v>
      </c>
      <c r="N49" s="49">
        <f t="shared" si="9"/>
        <v>0</v>
      </c>
      <c r="O49" s="49">
        <f t="shared" si="9"/>
        <v>0</v>
      </c>
      <c r="P49" s="49">
        <f t="shared" si="9"/>
        <v>0</v>
      </c>
      <c r="Q49" s="49">
        <f t="shared" si="9"/>
        <v>0</v>
      </c>
      <c r="R49" s="49">
        <f t="shared" si="9"/>
        <v>0</v>
      </c>
      <c r="S49" s="49">
        <f t="shared" si="9"/>
        <v>0</v>
      </c>
      <c r="T49" s="49">
        <f t="shared" si="9"/>
        <v>0</v>
      </c>
    </row>
    <row r="50" spans="1:20">
      <c r="A50" s="32" t="s">
        <v>97</v>
      </c>
      <c r="B50" s="25"/>
      <c r="C50" s="25"/>
      <c r="D50" s="25"/>
      <c r="E50" s="25"/>
      <c r="F50" s="25"/>
      <c r="G50" s="23"/>
      <c r="H50" s="50">
        <f t="shared" ref="H50:S50" si="10">H24+H27+H30-H49</f>
        <v>65143424.840000004</v>
      </c>
      <c r="I50" s="50">
        <f t="shared" si="10"/>
        <v>5373267.7199999997</v>
      </c>
      <c r="J50" s="50">
        <f t="shared" si="10"/>
        <v>5256222.2600000007</v>
      </c>
      <c r="K50" s="50">
        <f t="shared" si="10"/>
        <v>5077046.9400000004</v>
      </c>
      <c r="L50" s="50">
        <f t="shared" si="10"/>
        <v>5238106.97</v>
      </c>
      <c r="M50" s="50">
        <f t="shared" si="10"/>
        <v>5268303.8599999994</v>
      </c>
      <c r="N50" s="50">
        <f t="shared" si="10"/>
        <v>5506972.3799999999</v>
      </c>
      <c r="O50" s="50">
        <f t="shared" si="10"/>
        <v>5128509.62</v>
      </c>
      <c r="P50" s="50">
        <f t="shared" si="10"/>
        <v>5447167.540000001</v>
      </c>
      <c r="Q50" s="50">
        <f t="shared" si="10"/>
        <v>5340780.45</v>
      </c>
      <c r="R50" s="50">
        <f t="shared" si="10"/>
        <v>5123601</v>
      </c>
      <c r="S50" s="50">
        <f t="shared" si="10"/>
        <v>8446901.4600000009</v>
      </c>
      <c r="T50" s="50">
        <f>T24+T27+T30-T49</f>
        <v>3936544.64</v>
      </c>
    </row>
    <row r="51" spans="1:20">
      <c r="A51" s="3" t="s">
        <v>3200</v>
      </c>
      <c r="H51" s="394">
        <v>65143424.840000004</v>
      </c>
    </row>
    <row r="52" spans="1:20">
      <c r="A52" s="3" t="s">
        <v>3202</v>
      </c>
    </row>
    <row r="53" spans="1:20" s="57" customFormat="1" ht="11.25">
      <c r="A53" s="54"/>
      <c r="M53" s="55" t="s">
        <v>103</v>
      </c>
      <c r="N53" s="54"/>
      <c r="O53" s="54"/>
      <c r="P53" s="56" t="s">
        <v>104</v>
      </c>
      <c r="Q53" s="56"/>
      <c r="S53" s="58" t="s">
        <v>105</v>
      </c>
    </row>
    <row r="54" spans="1:20" s="59" customFormat="1" ht="11.25">
      <c r="A54" s="54"/>
      <c r="M54" s="55" t="s">
        <v>106</v>
      </c>
      <c r="N54" s="54"/>
      <c r="O54" s="54"/>
      <c r="P54" s="56" t="s">
        <v>107</v>
      </c>
      <c r="Q54" s="56"/>
      <c r="R54" s="57"/>
      <c r="S54" s="58" t="s">
        <v>108</v>
      </c>
    </row>
    <row r="55" spans="1:20">
      <c r="L55" s="455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2:Q59"/>
  <sheetViews>
    <sheetView topLeftCell="A2" workbookViewId="0">
      <selection activeCell="C11" sqref="C11"/>
    </sheetView>
  </sheetViews>
  <sheetFormatPr defaultRowHeight="8.25"/>
  <cols>
    <col min="1" max="1" width="2.42578125" style="59" customWidth="1"/>
    <col min="2" max="2" width="16.7109375" style="59" customWidth="1"/>
    <col min="3" max="3" width="9.85546875" style="59" customWidth="1"/>
    <col min="4" max="4" width="9.42578125" style="59" customWidth="1"/>
    <col min="5" max="5" width="9" style="59" customWidth="1"/>
    <col min="6" max="6" width="8.7109375" style="59" customWidth="1"/>
    <col min="7" max="7" width="8.5703125" style="59" customWidth="1"/>
    <col min="8" max="9" width="9" style="59" customWidth="1"/>
    <col min="10" max="10" width="8.85546875" style="59" bestFit="1" customWidth="1"/>
    <col min="11" max="11" width="8.7109375" style="59" bestFit="1" customWidth="1"/>
    <col min="12" max="12" width="9" style="59" bestFit="1" customWidth="1"/>
    <col min="13" max="13" width="8.7109375" style="59" customWidth="1"/>
    <col min="14" max="15" width="8.85546875" style="59" bestFit="1" customWidth="1"/>
    <col min="16" max="18" width="9.140625" style="59"/>
    <col min="19" max="19" width="24.140625" style="59" bestFit="1" customWidth="1"/>
    <col min="20" max="20" width="10.42578125" style="59" customWidth="1"/>
    <col min="21" max="21" width="10.28515625" style="59" customWidth="1"/>
    <col min="22" max="256" width="9.140625" style="59"/>
    <col min="257" max="257" width="6.140625" style="59" customWidth="1"/>
    <col min="258" max="258" width="16.7109375" style="59" customWidth="1"/>
    <col min="259" max="260" width="9.85546875" style="59" bestFit="1" customWidth="1"/>
    <col min="261" max="261" width="9.140625" style="59" bestFit="1" customWidth="1"/>
    <col min="262" max="262" width="9.140625" style="59"/>
    <col min="263" max="263" width="9" style="59" customWidth="1"/>
    <col min="264" max="264" width="9.140625" style="59" bestFit="1" customWidth="1"/>
    <col min="265" max="265" width="9" style="59" customWidth="1"/>
    <col min="266" max="266" width="8.85546875" style="59" bestFit="1" customWidth="1"/>
    <col min="267" max="267" width="9.140625" style="59"/>
    <col min="268" max="268" width="8.85546875" style="59" bestFit="1" customWidth="1"/>
    <col min="269" max="269" width="9" style="59" bestFit="1" customWidth="1"/>
    <col min="270" max="270" width="9" style="59" customWidth="1"/>
    <col min="271" max="271" width="8.85546875" style="59" bestFit="1" customWidth="1"/>
    <col min="272" max="274" width="9.140625" style="59"/>
    <col min="275" max="275" width="24.140625" style="59" bestFit="1" customWidth="1"/>
    <col min="276" max="276" width="10.42578125" style="59" customWidth="1"/>
    <col min="277" max="277" width="10.28515625" style="59" customWidth="1"/>
    <col min="278" max="512" width="9.140625" style="59"/>
    <col min="513" max="513" width="6.140625" style="59" customWidth="1"/>
    <col min="514" max="514" width="16.7109375" style="59" customWidth="1"/>
    <col min="515" max="516" width="9.85546875" style="59" bestFit="1" customWidth="1"/>
    <col min="517" max="517" width="9.140625" style="59" bestFit="1" customWidth="1"/>
    <col min="518" max="518" width="9.140625" style="59"/>
    <col min="519" max="519" width="9" style="59" customWidth="1"/>
    <col min="520" max="520" width="9.140625" style="59" bestFit="1" customWidth="1"/>
    <col min="521" max="521" width="9" style="59" customWidth="1"/>
    <col min="522" max="522" width="8.85546875" style="59" bestFit="1" customWidth="1"/>
    <col min="523" max="523" width="9.140625" style="59"/>
    <col min="524" max="524" width="8.85546875" style="59" bestFit="1" customWidth="1"/>
    <col min="525" max="525" width="9" style="59" bestFit="1" customWidth="1"/>
    <col min="526" max="526" width="9" style="59" customWidth="1"/>
    <col min="527" max="527" width="8.85546875" style="59" bestFit="1" customWidth="1"/>
    <col min="528" max="530" width="9.140625" style="59"/>
    <col min="531" max="531" width="24.140625" style="59" bestFit="1" customWidth="1"/>
    <col min="532" max="532" width="10.42578125" style="59" customWidth="1"/>
    <col min="533" max="533" width="10.28515625" style="59" customWidth="1"/>
    <col min="534" max="768" width="9.140625" style="59"/>
    <col min="769" max="769" width="6.140625" style="59" customWidth="1"/>
    <col min="770" max="770" width="16.7109375" style="59" customWidth="1"/>
    <col min="771" max="772" width="9.85546875" style="59" bestFit="1" customWidth="1"/>
    <col min="773" max="773" width="9.140625" style="59" bestFit="1" customWidth="1"/>
    <col min="774" max="774" width="9.140625" style="59"/>
    <col min="775" max="775" width="9" style="59" customWidth="1"/>
    <col min="776" max="776" width="9.140625" style="59" bestFit="1" customWidth="1"/>
    <col min="777" max="777" width="9" style="59" customWidth="1"/>
    <col min="778" max="778" width="8.85546875" style="59" bestFit="1" customWidth="1"/>
    <col min="779" max="779" width="9.140625" style="59"/>
    <col min="780" max="780" width="8.85546875" style="59" bestFit="1" customWidth="1"/>
    <col min="781" max="781" width="9" style="59" bestFit="1" customWidth="1"/>
    <col min="782" max="782" width="9" style="59" customWidth="1"/>
    <col min="783" max="783" width="8.85546875" style="59" bestFit="1" customWidth="1"/>
    <col min="784" max="786" width="9.140625" style="59"/>
    <col min="787" max="787" width="24.140625" style="59" bestFit="1" customWidth="1"/>
    <col min="788" max="788" width="10.42578125" style="59" customWidth="1"/>
    <col min="789" max="789" width="10.28515625" style="59" customWidth="1"/>
    <col min="790" max="1024" width="9.140625" style="59"/>
    <col min="1025" max="1025" width="6.140625" style="59" customWidth="1"/>
    <col min="1026" max="1026" width="16.7109375" style="59" customWidth="1"/>
    <col min="1027" max="1028" width="9.85546875" style="59" bestFit="1" customWidth="1"/>
    <col min="1029" max="1029" width="9.140625" style="59" bestFit="1" customWidth="1"/>
    <col min="1030" max="1030" width="9.140625" style="59"/>
    <col min="1031" max="1031" width="9" style="59" customWidth="1"/>
    <col min="1032" max="1032" width="9.140625" style="59" bestFit="1" customWidth="1"/>
    <col min="1033" max="1033" width="9" style="59" customWidth="1"/>
    <col min="1034" max="1034" width="8.85546875" style="59" bestFit="1" customWidth="1"/>
    <col min="1035" max="1035" width="9.140625" style="59"/>
    <col min="1036" max="1036" width="8.85546875" style="59" bestFit="1" customWidth="1"/>
    <col min="1037" max="1037" width="9" style="59" bestFit="1" customWidth="1"/>
    <col min="1038" max="1038" width="9" style="59" customWidth="1"/>
    <col min="1039" max="1039" width="8.85546875" style="59" bestFit="1" customWidth="1"/>
    <col min="1040" max="1042" width="9.140625" style="59"/>
    <col min="1043" max="1043" width="24.140625" style="59" bestFit="1" customWidth="1"/>
    <col min="1044" max="1044" width="10.42578125" style="59" customWidth="1"/>
    <col min="1045" max="1045" width="10.28515625" style="59" customWidth="1"/>
    <col min="1046" max="1280" width="9.140625" style="59"/>
    <col min="1281" max="1281" width="6.140625" style="59" customWidth="1"/>
    <col min="1282" max="1282" width="16.7109375" style="59" customWidth="1"/>
    <col min="1283" max="1284" width="9.85546875" style="59" bestFit="1" customWidth="1"/>
    <col min="1285" max="1285" width="9.140625" style="59" bestFit="1" customWidth="1"/>
    <col min="1286" max="1286" width="9.140625" style="59"/>
    <col min="1287" max="1287" width="9" style="59" customWidth="1"/>
    <col min="1288" max="1288" width="9.140625" style="59" bestFit="1" customWidth="1"/>
    <col min="1289" max="1289" width="9" style="59" customWidth="1"/>
    <col min="1290" max="1290" width="8.85546875" style="59" bestFit="1" customWidth="1"/>
    <col min="1291" max="1291" width="9.140625" style="59"/>
    <col min="1292" max="1292" width="8.85546875" style="59" bestFit="1" customWidth="1"/>
    <col min="1293" max="1293" width="9" style="59" bestFit="1" customWidth="1"/>
    <col min="1294" max="1294" width="9" style="59" customWidth="1"/>
    <col min="1295" max="1295" width="8.85546875" style="59" bestFit="1" customWidth="1"/>
    <col min="1296" max="1298" width="9.140625" style="59"/>
    <col min="1299" max="1299" width="24.140625" style="59" bestFit="1" customWidth="1"/>
    <col min="1300" max="1300" width="10.42578125" style="59" customWidth="1"/>
    <col min="1301" max="1301" width="10.28515625" style="59" customWidth="1"/>
    <col min="1302" max="1536" width="9.140625" style="59"/>
    <col min="1537" max="1537" width="6.140625" style="59" customWidth="1"/>
    <col min="1538" max="1538" width="16.7109375" style="59" customWidth="1"/>
    <col min="1539" max="1540" width="9.85546875" style="59" bestFit="1" customWidth="1"/>
    <col min="1541" max="1541" width="9.140625" style="59" bestFit="1" customWidth="1"/>
    <col min="1542" max="1542" width="9.140625" style="59"/>
    <col min="1543" max="1543" width="9" style="59" customWidth="1"/>
    <col min="1544" max="1544" width="9.140625" style="59" bestFit="1" customWidth="1"/>
    <col min="1545" max="1545" width="9" style="59" customWidth="1"/>
    <col min="1546" max="1546" width="8.85546875" style="59" bestFit="1" customWidth="1"/>
    <col min="1547" max="1547" width="9.140625" style="59"/>
    <col min="1548" max="1548" width="8.85546875" style="59" bestFit="1" customWidth="1"/>
    <col min="1549" max="1549" width="9" style="59" bestFit="1" customWidth="1"/>
    <col min="1550" max="1550" width="9" style="59" customWidth="1"/>
    <col min="1551" max="1551" width="8.85546875" style="59" bestFit="1" customWidth="1"/>
    <col min="1552" max="1554" width="9.140625" style="59"/>
    <col min="1555" max="1555" width="24.140625" style="59" bestFit="1" customWidth="1"/>
    <col min="1556" max="1556" width="10.42578125" style="59" customWidth="1"/>
    <col min="1557" max="1557" width="10.28515625" style="59" customWidth="1"/>
    <col min="1558" max="1792" width="9.140625" style="59"/>
    <col min="1793" max="1793" width="6.140625" style="59" customWidth="1"/>
    <col min="1794" max="1794" width="16.7109375" style="59" customWidth="1"/>
    <col min="1795" max="1796" width="9.85546875" style="59" bestFit="1" customWidth="1"/>
    <col min="1797" max="1797" width="9.140625" style="59" bestFit="1" customWidth="1"/>
    <col min="1798" max="1798" width="9.140625" style="59"/>
    <col min="1799" max="1799" width="9" style="59" customWidth="1"/>
    <col min="1800" max="1800" width="9.140625" style="59" bestFit="1" customWidth="1"/>
    <col min="1801" max="1801" width="9" style="59" customWidth="1"/>
    <col min="1802" max="1802" width="8.85546875" style="59" bestFit="1" customWidth="1"/>
    <col min="1803" max="1803" width="9.140625" style="59"/>
    <col min="1804" max="1804" width="8.85546875" style="59" bestFit="1" customWidth="1"/>
    <col min="1805" max="1805" width="9" style="59" bestFit="1" customWidth="1"/>
    <col min="1806" max="1806" width="9" style="59" customWidth="1"/>
    <col min="1807" max="1807" width="8.85546875" style="59" bestFit="1" customWidth="1"/>
    <col min="1808" max="1810" width="9.140625" style="59"/>
    <col min="1811" max="1811" width="24.140625" style="59" bestFit="1" customWidth="1"/>
    <col min="1812" max="1812" width="10.42578125" style="59" customWidth="1"/>
    <col min="1813" max="1813" width="10.28515625" style="59" customWidth="1"/>
    <col min="1814" max="2048" width="9.140625" style="59"/>
    <col min="2049" max="2049" width="6.140625" style="59" customWidth="1"/>
    <col min="2050" max="2050" width="16.7109375" style="59" customWidth="1"/>
    <col min="2051" max="2052" width="9.85546875" style="59" bestFit="1" customWidth="1"/>
    <col min="2053" max="2053" width="9.140625" style="59" bestFit="1" customWidth="1"/>
    <col min="2054" max="2054" width="9.140625" style="59"/>
    <col min="2055" max="2055" width="9" style="59" customWidth="1"/>
    <col min="2056" max="2056" width="9.140625" style="59" bestFit="1" customWidth="1"/>
    <col min="2057" max="2057" width="9" style="59" customWidth="1"/>
    <col min="2058" max="2058" width="8.85546875" style="59" bestFit="1" customWidth="1"/>
    <col min="2059" max="2059" width="9.140625" style="59"/>
    <col min="2060" max="2060" width="8.85546875" style="59" bestFit="1" customWidth="1"/>
    <col min="2061" max="2061" width="9" style="59" bestFit="1" customWidth="1"/>
    <col min="2062" max="2062" width="9" style="59" customWidth="1"/>
    <col min="2063" max="2063" width="8.85546875" style="59" bestFit="1" customWidth="1"/>
    <col min="2064" max="2066" width="9.140625" style="59"/>
    <col min="2067" max="2067" width="24.140625" style="59" bestFit="1" customWidth="1"/>
    <col min="2068" max="2068" width="10.42578125" style="59" customWidth="1"/>
    <col min="2069" max="2069" width="10.28515625" style="59" customWidth="1"/>
    <col min="2070" max="2304" width="9.140625" style="59"/>
    <col min="2305" max="2305" width="6.140625" style="59" customWidth="1"/>
    <col min="2306" max="2306" width="16.7109375" style="59" customWidth="1"/>
    <col min="2307" max="2308" width="9.85546875" style="59" bestFit="1" customWidth="1"/>
    <col min="2309" max="2309" width="9.140625" style="59" bestFit="1" customWidth="1"/>
    <col min="2310" max="2310" width="9.140625" style="59"/>
    <col min="2311" max="2311" width="9" style="59" customWidth="1"/>
    <col min="2312" max="2312" width="9.140625" style="59" bestFit="1" customWidth="1"/>
    <col min="2313" max="2313" width="9" style="59" customWidth="1"/>
    <col min="2314" max="2314" width="8.85546875" style="59" bestFit="1" customWidth="1"/>
    <col min="2315" max="2315" width="9.140625" style="59"/>
    <col min="2316" max="2316" width="8.85546875" style="59" bestFit="1" customWidth="1"/>
    <col min="2317" max="2317" width="9" style="59" bestFit="1" customWidth="1"/>
    <col min="2318" max="2318" width="9" style="59" customWidth="1"/>
    <col min="2319" max="2319" width="8.85546875" style="59" bestFit="1" customWidth="1"/>
    <col min="2320" max="2322" width="9.140625" style="59"/>
    <col min="2323" max="2323" width="24.140625" style="59" bestFit="1" customWidth="1"/>
    <col min="2324" max="2324" width="10.42578125" style="59" customWidth="1"/>
    <col min="2325" max="2325" width="10.28515625" style="59" customWidth="1"/>
    <col min="2326" max="2560" width="9.140625" style="59"/>
    <col min="2561" max="2561" width="6.140625" style="59" customWidth="1"/>
    <col min="2562" max="2562" width="16.7109375" style="59" customWidth="1"/>
    <col min="2563" max="2564" width="9.85546875" style="59" bestFit="1" customWidth="1"/>
    <col min="2565" max="2565" width="9.140625" style="59" bestFit="1" customWidth="1"/>
    <col min="2566" max="2566" width="9.140625" style="59"/>
    <col min="2567" max="2567" width="9" style="59" customWidth="1"/>
    <col min="2568" max="2568" width="9.140625" style="59" bestFit="1" customWidth="1"/>
    <col min="2569" max="2569" width="9" style="59" customWidth="1"/>
    <col min="2570" max="2570" width="8.85546875" style="59" bestFit="1" customWidth="1"/>
    <col min="2571" max="2571" width="9.140625" style="59"/>
    <col min="2572" max="2572" width="8.85546875" style="59" bestFit="1" customWidth="1"/>
    <col min="2573" max="2573" width="9" style="59" bestFit="1" customWidth="1"/>
    <col min="2574" max="2574" width="9" style="59" customWidth="1"/>
    <col min="2575" max="2575" width="8.85546875" style="59" bestFit="1" customWidth="1"/>
    <col min="2576" max="2578" width="9.140625" style="59"/>
    <col min="2579" max="2579" width="24.140625" style="59" bestFit="1" customWidth="1"/>
    <col min="2580" max="2580" width="10.42578125" style="59" customWidth="1"/>
    <col min="2581" max="2581" width="10.28515625" style="59" customWidth="1"/>
    <col min="2582" max="2816" width="9.140625" style="59"/>
    <col min="2817" max="2817" width="6.140625" style="59" customWidth="1"/>
    <col min="2818" max="2818" width="16.7109375" style="59" customWidth="1"/>
    <col min="2819" max="2820" width="9.85546875" style="59" bestFit="1" customWidth="1"/>
    <col min="2821" max="2821" width="9.140625" style="59" bestFit="1" customWidth="1"/>
    <col min="2822" max="2822" width="9.140625" style="59"/>
    <col min="2823" max="2823" width="9" style="59" customWidth="1"/>
    <col min="2824" max="2824" width="9.140625" style="59" bestFit="1" customWidth="1"/>
    <col min="2825" max="2825" width="9" style="59" customWidth="1"/>
    <col min="2826" max="2826" width="8.85546875" style="59" bestFit="1" customWidth="1"/>
    <col min="2827" max="2827" width="9.140625" style="59"/>
    <col min="2828" max="2828" width="8.85546875" style="59" bestFit="1" customWidth="1"/>
    <col min="2829" max="2829" width="9" style="59" bestFit="1" customWidth="1"/>
    <col min="2830" max="2830" width="9" style="59" customWidth="1"/>
    <col min="2831" max="2831" width="8.85546875" style="59" bestFit="1" customWidth="1"/>
    <col min="2832" max="2834" width="9.140625" style="59"/>
    <col min="2835" max="2835" width="24.140625" style="59" bestFit="1" customWidth="1"/>
    <col min="2836" max="2836" width="10.42578125" style="59" customWidth="1"/>
    <col min="2837" max="2837" width="10.28515625" style="59" customWidth="1"/>
    <col min="2838" max="3072" width="9.140625" style="59"/>
    <col min="3073" max="3073" width="6.140625" style="59" customWidth="1"/>
    <col min="3074" max="3074" width="16.7109375" style="59" customWidth="1"/>
    <col min="3075" max="3076" width="9.85546875" style="59" bestFit="1" customWidth="1"/>
    <col min="3077" max="3077" width="9.140625" style="59" bestFit="1" customWidth="1"/>
    <col min="3078" max="3078" width="9.140625" style="59"/>
    <col min="3079" max="3079" width="9" style="59" customWidth="1"/>
    <col min="3080" max="3080" width="9.140625" style="59" bestFit="1" customWidth="1"/>
    <col min="3081" max="3081" width="9" style="59" customWidth="1"/>
    <col min="3082" max="3082" width="8.85546875" style="59" bestFit="1" customWidth="1"/>
    <col min="3083" max="3083" width="9.140625" style="59"/>
    <col min="3084" max="3084" width="8.85546875" style="59" bestFit="1" customWidth="1"/>
    <col min="3085" max="3085" width="9" style="59" bestFit="1" customWidth="1"/>
    <col min="3086" max="3086" width="9" style="59" customWidth="1"/>
    <col min="3087" max="3087" width="8.85546875" style="59" bestFit="1" customWidth="1"/>
    <col min="3088" max="3090" width="9.140625" style="59"/>
    <col min="3091" max="3091" width="24.140625" style="59" bestFit="1" customWidth="1"/>
    <col min="3092" max="3092" width="10.42578125" style="59" customWidth="1"/>
    <col min="3093" max="3093" width="10.28515625" style="59" customWidth="1"/>
    <col min="3094" max="3328" width="9.140625" style="59"/>
    <col min="3329" max="3329" width="6.140625" style="59" customWidth="1"/>
    <col min="3330" max="3330" width="16.7109375" style="59" customWidth="1"/>
    <col min="3331" max="3332" width="9.85546875" style="59" bestFit="1" customWidth="1"/>
    <col min="3333" max="3333" width="9.140625" style="59" bestFit="1" customWidth="1"/>
    <col min="3334" max="3334" width="9.140625" style="59"/>
    <col min="3335" max="3335" width="9" style="59" customWidth="1"/>
    <col min="3336" max="3336" width="9.140625" style="59" bestFit="1" customWidth="1"/>
    <col min="3337" max="3337" width="9" style="59" customWidth="1"/>
    <col min="3338" max="3338" width="8.85546875" style="59" bestFit="1" customWidth="1"/>
    <col min="3339" max="3339" width="9.140625" style="59"/>
    <col min="3340" max="3340" width="8.85546875" style="59" bestFit="1" customWidth="1"/>
    <col min="3341" max="3341" width="9" style="59" bestFit="1" customWidth="1"/>
    <col min="3342" max="3342" width="9" style="59" customWidth="1"/>
    <col min="3343" max="3343" width="8.85546875" style="59" bestFit="1" customWidth="1"/>
    <col min="3344" max="3346" width="9.140625" style="59"/>
    <col min="3347" max="3347" width="24.140625" style="59" bestFit="1" customWidth="1"/>
    <col min="3348" max="3348" width="10.42578125" style="59" customWidth="1"/>
    <col min="3349" max="3349" width="10.28515625" style="59" customWidth="1"/>
    <col min="3350" max="3584" width="9.140625" style="59"/>
    <col min="3585" max="3585" width="6.140625" style="59" customWidth="1"/>
    <col min="3586" max="3586" width="16.7109375" style="59" customWidth="1"/>
    <col min="3587" max="3588" width="9.85546875" style="59" bestFit="1" customWidth="1"/>
    <col min="3589" max="3589" width="9.140625" style="59" bestFit="1" customWidth="1"/>
    <col min="3590" max="3590" width="9.140625" style="59"/>
    <col min="3591" max="3591" width="9" style="59" customWidth="1"/>
    <col min="3592" max="3592" width="9.140625" style="59" bestFit="1" customWidth="1"/>
    <col min="3593" max="3593" width="9" style="59" customWidth="1"/>
    <col min="3594" max="3594" width="8.85546875" style="59" bestFit="1" customWidth="1"/>
    <col min="3595" max="3595" width="9.140625" style="59"/>
    <col min="3596" max="3596" width="8.85546875" style="59" bestFit="1" customWidth="1"/>
    <col min="3597" max="3597" width="9" style="59" bestFit="1" customWidth="1"/>
    <col min="3598" max="3598" width="9" style="59" customWidth="1"/>
    <col min="3599" max="3599" width="8.85546875" style="59" bestFit="1" customWidth="1"/>
    <col min="3600" max="3602" width="9.140625" style="59"/>
    <col min="3603" max="3603" width="24.140625" style="59" bestFit="1" customWidth="1"/>
    <col min="3604" max="3604" width="10.42578125" style="59" customWidth="1"/>
    <col min="3605" max="3605" width="10.28515625" style="59" customWidth="1"/>
    <col min="3606" max="3840" width="9.140625" style="59"/>
    <col min="3841" max="3841" width="6.140625" style="59" customWidth="1"/>
    <col min="3842" max="3842" width="16.7109375" style="59" customWidth="1"/>
    <col min="3843" max="3844" width="9.85546875" style="59" bestFit="1" customWidth="1"/>
    <col min="3845" max="3845" width="9.140625" style="59" bestFit="1" customWidth="1"/>
    <col min="3846" max="3846" width="9.140625" style="59"/>
    <col min="3847" max="3847" width="9" style="59" customWidth="1"/>
    <col min="3848" max="3848" width="9.140625" style="59" bestFit="1" customWidth="1"/>
    <col min="3849" max="3849" width="9" style="59" customWidth="1"/>
    <col min="3850" max="3850" width="8.85546875" style="59" bestFit="1" customWidth="1"/>
    <col min="3851" max="3851" width="9.140625" style="59"/>
    <col min="3852" max="3852" width="8.85546875" style="59" bestFit="1" customWidth="1"/>
    <col min="3853" max="3853" width="9" style="59" bestFit="1" customWidth="1"/>
    <col min="3854" max="3854" width="9" style="59" customWidth="1"/>
    <col min="3855" max="3855" width="8.85546875" style="59" bestFit="1" customWidth="1"/>
    <col min="3856" max="3858" width="9.140625" style="59"/>
    <col min="3859" max="3859" width="24.140625" style="59" bestFit="1" customWidth="1"/>
    <col min="3860" max="3860" width="10.42578125" style="59" customWidth="1"/>
    <col min="3861" max="3861" width="10.28515625" style="59" customWidth="1"/>
    <col min="3862" max="4096" width="9.140625" style="59"/>
    <col min="4097" max="4097" width="6.140625" style="59" customWidth="1"/>
    <col min="4098" max="4098" width="16.7109375" style="59" customWidth="1"/>
    <col min="4099" max="4100" width="9.85546875" style="59" bestFit="1" customWidth="1"/>
    <col min="4101" max="4101" width="9.140625" style="59" bestFit="1" customWidth="1"/>
    <col min="4102" max="4102" width="9.140625" style="59"/>
    <col min="4103" max="4103" width="9" style="59" customWidth="1"/>
    <col min="4104" max="4104" width="9.140625" style="59" bestFit="1" customWidth="1"/>
    <col min="4105" max="4105" width="9" style="59" customWidth="1"/>
    <col min="4106" max="4106" width="8.85546875" style="59" bestFit="1" customWidth="1"/>
    <col min="4107" max="4107" width="9.140625" style="59"/>
    <col min="4108" max="4108" width="8.85546875" style="59" bestFit="1" customWidth="1"/>
    <col min="4109" max="4109" width="9" style="59" bestFit="1" customWidth="1"/>
    <col min="4110" max="4110" width="9" style="59" customWidth="1"/>
    <col min="4111" max="4111" width="8.85546875" style="59" bestFit="1" customWidth="1"/>
    <col min="4112" max="4114" width="9.140625" style="59"/>
    <col min="4115" max="4115" width="24.140625" style="59" bestFit="1" customWidth="1"/>
    <col min="4116" max="4116" width="10.42578125" style="59" customWidth="1"/>
    <col min="4117" max="4117" width="10.28515625" style="59" customWidth="1"/>
    <col min="4118" max="4352" width="9.140625" style="59"/>
    <col min="4353" max="4353" width="6.140625" style="59" customWidth="1"/>
    <col min="4354" max="4354" width="16.7109375" style="59" customWidth="1"/>
    <col min="4355" max="4356" width="9.85546875" style="59" bestFit="1" customWidth="1"/>
    <col min="4357" max="4357" width="9.140625" style="59" bestFit="1" customWidth="1"/>
    <col min="4358" max="4358" width="9.140625" style="59"/>
    <col min="4359" max="4359" width="9" style="59" customWidth="1"/>
    <col min="4360" max="4360" width="9.140625" style="59" bestFit="1" customWidth="1"/>
    <col min="4361" max="4361" width="9" style="59" customWidth="1"/>
    <col min="4362" max="4362" width="8.85546875" style="59" bestFit="1" customWidth="1"/>
    <col min="4363" max="4363" width="9.140625" style="59"/>
    <col min="4364" max="4364" width="8.85546875" style="59" bestFit="1" customWidth="1"/>
    <col min="4365" max="4365" width="9" style="59" bestFit="1" customWidth="1"/>
    <col min="4366" max="4366" width="9" style="59" customWidth="1"/>
    <col min="4367" max="4367" width="8.85546875" style="59" bestFit="1" customWidth="1"/>
    <col min="4368" max="4370" width="9.140625" style="59"/>
    <col min="4371" max="4371" width="24.140625" style="59" bestFit="1" customWidth="1"/>
    <col min="4372" max="4372" width="10.42578125" style="59" customWidth="1"/>
    <col min="4373" max="4373" width="10.28515625" style="59" customWidth="1"/>
    <col min="4374" max="4608" width="9.140625" style="59"/>
    <col min="4609" max="4609" width="6.140625" style="59" customWidth="1"/>
    <col min="4610" max="4610" width="16.7109375" style="59" customWidth="1"/>
    <col min="4611" max="4612" width="9.85546875" style="59" bestFit="1" customWidth="1"/>
    <col min="4613" max="4613" width="9.140625" style="59" bestFit="1" customWidth="1"/>
    <col min="4614" max="4614" width="9.140625" style="59"/>
    <col min="4615" max="4615" width="9" style="59" customWidth="1"/>
    <col min="4616" max="4616" width="9.140625" style="59" bestFit="1" customWidth="1"/>
    <col min="4617" max="4617" width="9" style="59" customWidth="1"/>
    <col min="4618" max="4618" width="8.85546875" style="59" bestFit="1" customWidth="1"/>
    <col min="4619" max="4619" width="9.140625" style="59"/>
    <col min="4620" max="4620" width="8.85546875" style="59" bestFit="1" customWidth="1"/>
    <col min="4621" max="4621" width="9" style="59" bestFit="1" customWidth="1"/>
    <col min="4622" max="4622" width="9" style="59" customWidth="1"/>
    <col min="4623" max="4623" width="8.85546875" style="59" bestFit="1" customWidth="1"/>
    <col min="4624" max="4626" width="9.140625" style="59"/>
    <col min="4627" max="4627" width="24.140625" style="59" bestFit="1" customWidth="1"/>
    <col min="4628" max="4628" width="10.42578125" style="59" customWidth="1"/>
    <col min="4629" max="4629" width="10.28515625" style="59" customWidth="1"/>
    <col min="4630" max="4864" width="9.140625" style="59"/>
    <col min="4865" max="4865" width="6.140625" style="59" customWidth="1"/>
    <col min="4866" max="4866" width="16.7109375" style="59" customWidth="1"/>
    <col min="4867" max="4868" width="9.85546875" style="59" bestFit="1" customWidth="1"/>
    <col min="4869" max="4869" width="9.140625" style="59" bestFit="1" customWidth="1"/>
    <col min="4870" max="4870" width="9.140625" style="59"/>
    <col min="4871" max="4871" width="9" style="59" customWidth="1"/>
    <col min="4872" max="4872" width="9.140625" style="59" bestFit="1" customWidth="1"/>
    <col min="4873" max="4873" width="9" style="59" customWidth="1"/>
    <col min="4874" max="4874" width="8.85546875" style="59" bestFit="1" customWidth="1"/>
    <col min="4875" max="4875" width="9.140625" style="59"/>
    <col min="4876" max="4876" width="8.85546875" style="59" bestFit="1" customWidth="1"/>
    <col min="4877" max="4877" width="9" style="59" bestFit="1" customWidth="1"/>
    <col min="4878" max="4878" width="9" style="59" customWidth="1"/>
    <col min="4879" max="4879" width="8.85546875" style="59" bestFit="1" customWidth="1"/>
    <col min="4880" max="4882" width="9.140625" style="59"/>
    <col min="4883" max="4883" width="24.140625" style="59" bestFit="1" customWidth="1"/>
    <col min="4884" max="4884" width="10.42578125" style="59" customWidth="1"/>
    <col min="4885" max="4885" width="10.28515625" style="59" customWidth="1"/>
    <col min="4886" max="5120" width="9.140625" style="59"/>
    <col min="5121" max="5121" width="6.140625" style="59" customWidth="1"/>
    <col min="5122" max="5122" width="16.7109375" style="59" customWidth="1"/>
    <col min="5123" max="5124" width="9.85546875" style="59" bestFit="1" customWidth="1"/>
    <col min="5125" max="5125" width="9.140625" style="59" bestFit="1" customWidth="1"/>
    <col min="5126" max="5126" width="9.140625" style="59"/>
    <col min="5127" max="5127" width="9" style="59" customWidth="1"/>
    <col min="5128" max="5128" width="9.140625" style="59" bestFit="1" customWidth="1"/>
    <col min="5129" max="5129" width="9" style="59" customWidth="1"/>
    <col min="5130" max="5130" width="8.85546875" style="59" bestFit="1" customWidth="1"/>
    <col min="5131" max="5131" width="9.140625" style="59"/>
    <col min="5132" max="5132" width="8.85546875" style="59" bestFit="1" customWidth="1"/>
    <col min="5133" max="5133" width="9" style="59" bestFit="1" customWidth="1"/>
    <col min="5134" max="5134" width="9" style="59" customWidth="1"/>
    <col min="5135" max="5135" width="8.85546875" style="59" bestFit="1" customWidth="1"/>
    <col min="5136" max="5138" width="9.140625" style="59"/>
    <col min="5139" max="5139" width="24.140625" style="59" bestFit="1" customWidth="1"/>
    <col min="5140" max="5140" width="10.42578125" style="59" customWidth="1"/>
    <col min="5141" max="5141" width="10.28515625" style="59" customWidth="1"/>
    <col min="5142" max="5376" width="9.140625" style="59"/>
    <col min="5377" max="5377" width="6.140625" style="59" customWidth="1"/>
    <col min="5378" max="5378" width="16.7109375" style="59" customWidth="1"/>
    <col min="5379" max="5380" width="9.85546875" style="59" bestFit="1" customWidth="1"/>
    <col min="5381" max="5381" width="9.140625" style="59" bestFit="1" customWidth="1"/>
    <col min="5382" max="5382" width="9.140625" style="59"/>
    <col min="5383" max="5383" width="9" style="59" customWidth="1"/>
    <col min="5384" max="5384" width="9.140625" style="59" bestFit="1" customWidth="1"/>
    <col min="5385" max="5385" width="9" style="59" customWidth="1"/>
    <col min="5386" max="5386" width="8.85546875" style="59" bestFit="1" customWidth="1"/>
    <col min="5387" max="5387" width="9.140625" style="59"/>
    <col min="5388" max="5388" width="8.85546875" style="59" bestFit="1" customWidth="1"/>
    <col min="5389" max="5389" width="9" style="59" bestFit="1" customWidth="1"/>
    <col min="5390" max="5390" width="9" style="59" customWidth="1"/>
    <col min="5391" max="5391" width="8.85546875" style="59" bestFit="1" customWidth="1"/>
    <col min="5392" max="5394" width="9.140625" style="59"/>
    <col min="5395" max="5395" width="24.140625" style="59" bestFit="1" customWidth="1"/>
    <col min="5396" max="5396" width="10.42578125" style="59" customWidth="1"/>
    <col min="5397" max="5397" width="10.28515625" style="59" customWidth="1"/>
    <col min="5398" max="5632" width="9.140625" style="59"/>
    <col min="5633" max="5633" width="6.140625" style="59" customWidth="1"/>
    <col min="5634" max="5634" width="16.7109375" style="59" customWidth="1"/>
    <col min="5635" max="5636" width="9.85546875" style="59" bestFit="1" customWidth="1"/>
    <col min="5637" max="5637" width="9.140625" style="59" bestFit="1" customWidth="1"/>
    <col min="5638" max="5638" width="9.140625" style="59"/>
    <col min="5639" max="5639" width="9" style="59" customWidth="1"/>
    <col min="5640" max="5640" width="9.140625" style="59" bestFit="1" customWidth="1"/>
    <col min="5641" max="5641" width="9" style="59" customWidth="1"/>
    <col min="5642" max="5642" width="8.85546875" style="59" bestFit="1" customWidth="1"/>
    <col min="5643" max="5643" width="9.140625" style="59"/>
    <col min="5644" max="5644" width="8.85546875" style="59" bestFit="1" customWidth="1"/>
    <col min="5645" max="5645" width="9" style="59" bestFit="1" customWidth="1"/>
    <col min="5646" max="5646" width="9" style="59" customWidth="1"/>
    <col min="5647" max="5647" width="8.85546875" style="59" bestFit="1" customWidth="1"/>
    <col min="5648" max="5650" width="9.140625" style="59"/>
    <col min="5651" max="5651" width="24.140625" style="59" bestFit="1" customWidth="1"/>
    <col min="5652" max="5652" width="10.42578125" style="59" customWidth="1"/>
    <col min="5653" max="5653" width="10.28515625" style="59" customWidth="1"/>
    <col min="5654" max="5888" width="9.140625" style="59"/>
    <col min="5889" max="5889" width="6.140625" style="59" customWidth="1"/>
    <col min="5890" max="5890" width="16.7109375" style="59" customWidth="1"/>
    <col min="5891" max="5892" width="9.85546875" style="59" bestFit="1" customWidth="1"/>
    <col min="5893" max="5893" width="9.140625" style="59" bestFit="1" customWidth="1"/>
    <col min="5894" max="5894" width="9.140625" style="59"/>
    <col min="5895" max="5895" width="9" style="59" customWidth="1"/>
    <col min="5896" max="5896" width="9.140625" style="59" bestFit="1" customWidth="1"/>
    <col min="5897" max="5897" width="9" style="59" customWidth="1"/>
    <col min="5898" max="5898" width="8.85546875" style="59" bestFit="1" customWidth="1"/>
    <col min="5899" max="5899" width="9.140625" style="59"/>
    <col min="5900" max="5900" width="8.85546875" style="59" bestFit="1" customWidth="1"/>
    <col min="5901" max="5901" width="9" style="59" bestFit="1" customWidth="1"/>
    <col min="5902" max="5902" width="9" style="59" customWidth="1"/>
    <col min="5903" max="5903" width="8.85546875" style="59" bestFit="1" customWidth="1"/>
    <col min="5904" max="5906" width="9.140625" style="59"/>
    <col min="5907" max="5907" width="24.140625" style="59" bestFit="1" customWidth="1"/>
    <col min="5908" max="5908" width="10.42578125" style="59" customWidth="1"/>
    <col min="5909" max="5909" width="10.28515625" style="59" customWidth="1"/>
    <col min="5910" max="6144" width="9.140625" style="59"/>
    <col min="6145" max="6145" width="6.140625" style="59" customWidth="1"/>
    <col min="6146" max="6146" width="16.7109375" style="59" customWidth="1"/>
    <col min="6147" max="6148" width="9.85546875" style="59" bestFit="1" customWidth="1"/>
    <col min="6149" max="6149" width="9.140625" style="59" bestFit="1" customWidth="1"/>
    <col min="6150" max="6150" width="9.140625" style="59"/>
    <col min="6151" max="6151" width="9" style="59" customWidth="1"/>
    <col min="6152" max="6152" width="9.140625" style="59" bestFit="1" customWidth="1"/>
    <col min="6153" max="6153" width="9" style="59" customWidth="1"/>
    <col min="6154" max="6154" width="8.85546875" style="59" bestFit="1" customWidth="1"/>
    <col min="6155" max="6155" width="9.140625" style="59"/>
    <col min="6156" max="6156" width="8.85546875" style="59" bestFit="1" customWidth="1"/>
    <col min="6157" max="6157" width="9" style="59" bestFit="1" customWidth="1"/>
    <col min="6158" max="6158" width="9" style="59" customWidth="1"/>
    <col min="6159" max="6159" width="8.85546875" style="59" bestFit="1" customWidth="1"/>
    <col min="6160" max="6162" width="9.140625" style="59"/>
    <col min="6163" max="6163" width="24.140625" style="59" bestFit="1" customWidth="1"/>
    <col min="6164" max="6164" width="10.42578125" style="59" customWidth="1"/>
    <col min="6165" max="6165" width="10.28515625" style="59" customWidth="1"/>
    <col min="6166" max="6400" width="9.140625" style="59"/>
    <col min="6401" max="6401" width="6.140625" style="59" customWidth="1"/>
    <col min="6402" max="6402" width="16.7109375" style="59" customWidth="1"/>
    <col min="6403" max="6404" width="9.85546875" style="59" bestFit="1" customWidth="1"/>
    <col min="6405" max="6405" width="9.140625" style="59" bestFit="1" customWidth="1"/>
    <col min="6406" max="6406" width="9.140625" style="59"/>
    <col min="6407" max="6407" width="9" style="59" customWidth="1"/>
    <col min="6408" max="6408" width="9.140625" style="59" bestFit="1" customWidth="1"/>
    <col min="6409" max="6409" width="9" style="59" customWidth="1"/>
    <col min="6410" max="6410" width="8.85546875" style="59" bestFit="1" customWidth="1"/>
    <col min="6411" max="6411" width="9.140625" style="59"/>
    <col min="6412" max="6412" width="8.85546875" style="59" bestFit="1" customWidth="1"/>
    <col min="6413" max="6413" width="9" style="59" bestFit="1" customWidth="1"/>
    <col min="6414" max="6414" width="9" style="59" customWidth="1"/>
    <col min="6415" max="6415" width="8.85546875" style="59" bestFit="1" customWidth="1"/>
    <col min="6416" max="6418" width="9.140625" style="59"/>
    <col min="6419" max="6419" width="24.140625" style="59" bestFit="1" customWidth="1"/>
    <col min="6420" max="6420" width="10.42578125" style="59" customWidth="1"/>
    <col min="6421" max="6421" width="10.28515625" style="59" customWidth="1"/>
    <col min="6422" max="6656" width="9.140625" style="59"/>
    <col min="6657" max="6657" width="6.140625" style="59" customWidth="1"/>
    <col min="6658" max="6658" width="16.7109375" style="59" customWidth="1"/>
    <col min="6659" max="6660" width="9.85546875" style="59" bestFit="1" customWidth="1"/>
    <col min="6661" max="6661" width="9.140625" style="59" bestFit="1" customWidth="1"/>
    <col min="6662" max="6662" width="9.140625" style="59"/>
    <col min="6663" max="6663" width="9" style="59" customWidth="1"/>
    <col min="6664" max="6664" width="9.140625" style="59" bestFit="1" customWidth="1"/>
    <col min="6665" max="6665" width="9" style="59" customWidth="1"/>
    <col min="6666" max="6666" width="8.85546875" style="59" bestFit="1" customWidth="1"/>
    <col min="6667" max="6667" width="9.140625" style="59"/>
    <col min="6668" max="6668" width="8.85546875" style="59" bestFit="1" customWidth="1"/>
    <col min="6669" max="6669" width="9" style="59" bestFit="1" customWidth="1"/>
    <col min="6670" max="6670" width="9" style="59" customWidth="1"/>
    <col min="6671" max="6671" width="8.85546875" style="59" bestFit="1" customWidth="1"/>
    <col min="6672" max="6674" width="9.140625" style="59"/>
    <col min="6675" max="6675" width="24.140625" style="59" bestFit="1" customWidth="1"/>
    <col min="6676" max="6676" width="10.42578125" style="59" customWidth="1"/>
    <col min="6677" max="6677" width="10.28515625" style="59" customWidth="1"/>
    <col min="6678" max="6912" width="9.140625" style="59"/>
    <col min="6913" max="6913" width="6.140625" style="59" customWidth="1"/>
    <col min="6914" max="6914" width="16.7109375" style="59" customWidth="1"/>
    <col min="6915" max="6916" width="9.85546875" style="59" bestFit="1" customWidth="1"/>
    <col min="6917" max="6917" width="9.140625" style="59" bestFit="1" customWidth="1"/>
    <col min="6918" max="6918" width="9.140625" style="59"/>
    <col min="6919" max="6919" width="9" style="59" customWidth="1"/>
    <col min="6920" max="6920" width="9.140625" style="59" bestFit="1" customWidth="1"/>
    <col min="6921" max="6921" width="9" style="59" customWidth="1"/>
    <col min="6922" max="6922" width="8.85546875" style="59" bestFit="1" customWidth="1"/>
    <col min="6923" max="6923" width="9.140625" style="59"/>
    <col min="6924" max="6924" width="8.85546875" style="59" bestFit="1" customWidth="1"/>
    <col min="6925" max="6925" width="9" style="59" bestFit="1" customWidth="1"/>
    <col min="6926" max="6926" width="9" style="59" customWidth="1"/>
    <col min="6927" max="6927" width="8.85546875" style="59" bestFit="1" customWidth="1"/>
    <col min="6928" max="6930" width="9.140625" style="59"/>
    <col min="6931" max="6931" width="24.140625" style="59" bestFit="1" customWidth="1"/>
    <col min="6932" max="6932" width="10.42578125" style="59" customWidth="1"/>
    <col min="6933" max="6933" width="10.28515625" style="59" customWidth="1"/>
    <col min="6934" max="7168" width="9.140625" style="59"/>
    <col min="7169" max="7169" width="6.140625" style="59" customWidth="1"/>
    <col min="7170" max="7170" width="16.7109375" style="59" customWidth="1"/>
    <col min="7171" max="7172" width="9.85546875" style="59" bestFit="1" customWidth="1"/>
    <col min="7173" max="7173" width="9.140625" style="59" bestFit="1" customWidth="1"/>
    <col min="7174" max="7174" width="9.140625" style="59"/>
    <col min="7175" max="7175" width="9" style="59" customWidth="1"/>
    <col min="7176" max="7176" width="9.140625" style="59" bestFit="1" customWidth="1"/>
    <col min="7177" max="7177" width="9" style="59" customWidth="1"/>
    <col min="7178" max="7178" width="8.85546875" style="59" bestFit="1" customWidth="1"/>
    <col min="7179" max="7179" width="9.140625" style="59"/>
    <col min="7180" max="7180" width="8.85546875" style="59" bestFit="1" customWidth="1"/>
    <col min="7181" max="7181" width="9" style="59" bestFit="1" customWidth="1"/>
    <col min="7182" max="7182" width="9" style="59" customWidth="1"/>
    <col min="7183" max="7183" width="8.85546875" style="59" bestFit="1" customWidth="1"/>
    <col min="7184" max="7186" width="9.140625" style="59"/>
    <col min="7187" max="7187" width="24.140625" style="59" bestFit="1" customWidth="1"/>
    <col min="7188" max="7188" width="10.42578125" style="59" customWidth="1"/>
    <col min="7189" max="7189" width="10.28515625" style="59" customWidth="1"/>
    <col min="7190" max="7424" width="9.140625" style="59"/>
    <col min="7425" max="7425" width="6.140625" style="59" customWidth="1"/>
    <col min="7426" max="7426" width="16.7109375" style="59" customWidth="1"/>
    <col min="7427" max="7428" width="9.85546875" style="59" bestFit="1" customWidth="1"/>
    <col min="7429" max="7429" width="9.140625" style="59" bestFit="1" customWidth="1"/>
    <col min="7430" max="7430" width="9.140625" style="59"/>
    <col min="7431" max="7431" width="9" style="59" customWidth="1"/>
    <col min="7432" max="7432" width="9.140625" style="59" bestFit="1" customWidth="1"/>
    <col min="7433" max="7433" width="9" style="59" customWidth="1"/>
    <col min="7434" max="7434" width="8.85546875" style="59" bestFit="1" customWidth="1"/>
    <col min="7435" max="7435" width="9.140625" style="59"/>
    <col min="7436" max="7436" width="8.85546875" style="59" bestFit="1" customWidth="1"/>
    <col min="7437" max="7437" width="9" style="59" bestFit="1" customWidth="1"/>
    <col min="7438" max="7438" width="9" style="59" customWidth="1"/>
    <col min="7439" max="7439" width="8.85546875" style="59" bestFit="1" customWidth="1"/>
    <col min="7440" max="7442" width="9.140625" style="59"/>
    <col min="7443" max="7443" width="24.140625" style="59" bestFit="1" customWidth="1"/>
    <col min="7444" max="7444" width="10.42578125" style="59" customWidth="1"/>
    <col min="7445" max="7445" width="10.28515625" style="59" customWidth="1"/>
    <col min="7446" max="7680" width="9.140625" style="59"/>
    <col min="7681" max="7681" width="6.140625" style="59" customWidth="1"/>
    <col min="7682" max="7682" width="16.7109375" style="59" customWidth="1"/>
    <col min="7683" max="7684" width="9.85546875" style="59" bestFit="1" customWidth="1"/>
    <col min="7685" max="7685" width="9.140625" style="59" bestFit="1" customWidth="1"/>
    <col min="7686" max="7686" width="9.140625" style="59"/>
    <col min="7687" max="7687" width="9" style="59" customWidth="1"/>
    <col min="7688" max="7688" width="9.140625" style="59" bestFit="1" customWidth="1"/>
    <col min="7689" max="7689" width="9" style="59" customWidth="1"/>
    <col min="7690" max="7690" width="8.85546875" style="59" bestFit="1" customWidth="1"/>
    <col min="7691" max="7691" width="9.140625" style="59"/>
    <col min="7692" max="7692" width="8.85546875" style="59" bestFit="1" customWidth="1"/>
    <col min="7693" max="7693" width="9" style="59" bestFit="1" customWidth="1"/>
    <col min="7694" max="7694" width="9" style="59" customWidth="1"/>
    <col min="7695" max="7695" width="8.85546875" style="59" bestFit="1" customWidth="1"/>
    <col min="7696" max="7698" width="9.140625" style="59"/>
    <col min="7699" max="7699" width="24.140625" style="59" bestFit="1" customWidth="1"/>
    <col min="7700" max="7700" width="10.42578125" style="59" customWidth="1"/>
    <col min="7701" max="7701" width="10.28515625" style="59" customWidth="1"/>
    <col min="7702" max="7936" width="9.140625" style="59"/>
    <col min="7937" max="7937" width="6.140625" style="59" customWidth="1"/>
    <col min="7938" max="7938" width="16.7109375" style="59" customWidth="1"/>
    <col min="7939" max="7940" width="9.85546875" style="59" bestFit="1" customWidth="1"/>
    <col min="7941" max="7941" width="9.140625" style="59" bestFit="1" customWidth="1"/>
    <col min="7942" max="7942" width="9.140625" style="59"/>
    <col min="7943" max="7943" width="9" style="59" customWidth="1"/>
    <col min="7944" max="7944" width="9.140625" style="59" bestFit="1" customWidth="1"/>
    <col min="7945" max="7945" width="9" style="59" customWidth="1"/>
    <col min="7946" max="7946" width="8.85546875" style="59" bestFit="1" customWidth="1"/>
    <col min="7947" max="7947" width="9.140625" style="59"/>
    <col min="7948" max="7948" width="8.85546875" style="59" bestFit="1" customWidth="1"/>
    <col min="7949" max="7949" width="9" style="59" bestFit="1" customWidth="1"/>
    <col min="7950" max="7950" width="9" style="59" customWidth="1"/>
    <col min="7951" max="7951" width="8.85546875" style="59" bestFit="1" customWidth="1"/>
    <col min="7952" max="7954" width="9.140625" style="59"/>
    <col min="7955" max="7955" width="24.140625" style="59" bestFit="1" customWidth="1"/>
    <col min="7956" max="7956" width="10.42578125" style="59" customWidth="1"/>
    <col min="7957" max="7957" width="10.28515625" style="59" customWidth="1"/>
    <col min="7958" max="8192" width="9.140625" style="59"/>
    <col min="8193" max="8193" width="6.140625" style="59" customWidth="1"/>
    <col min="8194" max="8194" width="16.7109375" style="59" customWidth="1"/>
    <col min="8195" max="8196" width="9.85546875" style="59" bestFit="1" customWidth="1"/>
    <col min="8197" max="8197" width="9.140625" style="59" bestFit="1" customWidth="1"/>
    <col min="8198" max="8198" width="9.140625" style="59"/>
    <col min="8199" max="8199" width="9" style="59" customWidth="1"/>
    <col min="8200" max="8200" width="9.140625" style="59" bestFit="1" customWidth="1"/>
    <col min="8201" max="8201" width="9" style="59" customWidth="1"/>
    <col min="8202" max="8202" width="8.85546875" style="59" bestFit="1" customWidth="1"/>
    <col min="8203" max="8203" width="9.140625" style="59"/>
    <col min="8204" max="8204" width="8.85546875" style="59" bestFit="1" customWidth="1"/>
    <col min="8205" max="8205" width="9" style="59" bestFit="1" customWidth="1"/>
    <col min="8206" max="8206" width="9" style="59" customWidth="1"/>
    <col min="8207" max="8207" width="8.85546875" style="59" bestFit="1" customWidth="1"/>
    <col min="8208" max="8210" width="9.140625" style="59"/>
    <col min="8211" max="8211" width="24.140625" style="59" bestFit="1" customWidth="1"/>
    <col min="8212" max="8212" width="10.42578125" style="59" customWidth="1"/>
    <col min="8213" max="8213" width="10.28515625" style="59" customWidth="1"/>
    <col min="8214" max="8448" width="9.140625" style="59"/>
    <col min="8449" max="8449" width="6.140625" style="59" customWidth="1"/>
    <col min="8450" max="8450" width="16.7109375" style="59" customWidth="1"/>
    <col min="8451" max="8452" width="9.85546875" style="59" bestFit="1" customWidth="1"/>
    <col min="8453" max="8453" width="9.140625" style="59" bestFit="1" customWidth="1"/>
    <col min="8454" max="8454" width="9.140625" style="59"/>
    <col min="8455" max="8455" width="9" style="59" customWidth="1"/>
    <col min="8456" max="8456" width="9.140625" style="59" bestFit="1" customWidth="1"/>
    <col min="8457" max="8457" width="9" style="59" customWidth="1"/>
    <col min="8458" max="8458" width="8.85546875" style="59" bestFit="1" customWidth="1"/>
    <col min="8459" max="8459" width="9.140625" style="59"/>
    <col min="8460" max="8460" width="8.85546875" style="59" bestFit="1" customWidth="1"/>
    <col min="8461" max="8461" width="9" style="59" bestFit="1" customWidth="1"/>
    <col min="8462" max="8462" width="9" style="59" customWidth="1"/>
    <col min="8463" max="8463" width="8.85546875" style="59" bestFit="1" customWidth="1"/>
    <col min="8464" max="8466" width="9.140625" style="59"/>
    <col min="8467" max="8467" width="24.140625" style="59" bestFit="1" customWidth="1"/>
    <col min="8468" max="8468" width="10.42578125" style="59" customWidth="1"/>
    <col min="8469" max="8469" width="10.28515625" style="59" customWidth="1"/>
    <col min="8470" max="8704" width="9.140625" style="59"/>
    <col min="8705" max="8705" width="6.140625" style="59" customWidth="1"/>
    <col min="8706" max="8706" width="16.7109375" style="59" customWidth="1"/>
    <col min="8707" max="8708" width="9.85546875" style="59" bestFit="1" customWidth="1"/>
    <col min="8709" max="8709" width="9.140625" style="59" bestFit="1" customWidth="1"/>
    <col min="8710" max="8710" width="9.140625" style="59"/>
    <col min="8711" max="8711" width="9" style="59" customWidth="1"/>
    <col min="8712" max="8712" width="9.140625" style="59" bestFit="1" customWidth="1"/>
    <col min="8713" max="8713" width="9" style="59" customWidth="1"/>
    <col min="8714" max="8714" width="8.85546875" style="59" bestFit="1" customWidth="1"/>
    <col min="8715" max="8715" width="9.140625" style="59"/>
    <col min="8716" max="8716" width="8.85546875" style="59" bestFit="1" customWidth="1"/>
    <col min="8717" max="8717" width="9" style="59" bestFit="1" customWidth="1"/>
    <col min="8718" max="8718" width="9" style="59" customWidth="1"/>
    <col min="8719" max="8719" width="8.85546875" style="59" bestFit="1" customWidth="1"/>
    <col min="8720" max="8722" width="9.140625" style="59"/>
    <col min="8723" max="8723" width="24.140625" style="59" bestFit="1" customWidth="1"/>
    <col min="8724" max="8724" width="10.42578125" style="59" customWidth="1"/>
    <col min="8725" max="8725" width="10.28515625" style="59" customWidth="1"/>
    <col min="8726" max="8960" width="9.140625" style="59"/>
    <col min="8961" max="8961" width="6.140625" style="59" customWidth="1"/>
    <col min="8962" max="8962" width="16.7109375" style="59" customWidth="1"/>
    <col min="8963" max="8964" width="9.85546875" style="59" bestFit="1" customWidth="1"/>
    <col min="8965" max="8965" width="9.140625" style="59" bestFit="1" customWidth="1"/>
    <col min="8966" max="8966" width="9.140625" style="59"/>
    <col min="8967" max="8967" width="9" style="59" customWidth="1"/>
    <col min="8968" max="8968" width="9.140625" style="59" bestFit="1" customWidth="1"/>
    <col min="8969" max="8969" width="9" style="59" customWidth="1"/>
    <col min="8970" max="8970" width="8.85546875" style="59" bestFit="1" customWidth="1"/>
    <col min="8971" max="8971" width="9.140625" style="59"/>
    <col min="8972" max="8972" width="8.85546875" style="59" bestFit="1" customWidth="1"/>
    <col min="8973" max="8973" width="9" style="59" bestFit="1" customWidth="1"/>
    <col min="8974" max="8974" width="9" style="59" customWidth="1"/>
    <col min="8975" max="8975" width="8.85546875" style="59" bestFit="1" customWidth="1"/>
    <col min="8976" max="8978" width="9.140625" style="59"/>
    <col min="8979" max="8979" width="24.140625" style="59" bestFit="1" customWidth="1"/>
    <col min="8980" max="8980" width="10.42578125" style="59" customWidth="1"/>
    <col min="8981" max="8981" width="10.28515625" style="59" customWidth="1"/>
    <col min="8982" max="9216" width="9.140625" style="59"/>
    <col min="9217" max="9217" width="6.140625" style="59" customWidth="1"/>
    <col min="9218" max="9218" width="16.7109375" style="59" customWidth="1"/>
    <col min="9219" max="9220" width="9.85546875" style="59" bestFit="1" customWidth="1"/>
    <col min="9221" max="9221" width="9.140625" style="59" bestFit="1" customWidth="1"/>
    <col min="9222" max="9222" width="9.140625" style="59"/>
    <col min="9223" max="9223" width="9" style="59" customWidth="1"/>
    <col min="9224" max="9224" width="9.140625" style="59" bestFit="1" customWidth="1"/>
    <col min="9225" max="9225" width="9" style="59" customWidth="1"/>
    <col min="9226" max="9226" width="8.85546875" style="59" bestFit="1" customWidth="1"/>
    <col min="9227" max="9227" width="9.140625" style="59"/>
    <col min="9228" max="9228" width="8.85546875" style="59" bestFit="1" customWidth="1"/>
    <col min="9229" max="9229" width="9" style="59" bestFit="1" customWidth="1"/>
    <col min="9230" max="9230" width="9" style="59" customWidth="1"/>
    <col min="9231" max="9231" width="8.85546875" style="59" bestFit="1" customWidth="1"/>
    <col min="9232" max="9234" width="9.140625" style="59"/>
    <col min="9235" max="9235" width="24.140625" style="59" bestFit="1" customWidth="1"/>
    <col min="9236" max="9236" width="10.42578125" style="59" customWidth="1"/>
    <col min="9237" max="9237" width="10.28515625" style="59" customWidth="1"/>
    <col min="9238" max="9472" width="9.140625" style="59"/>
    <col min="9473" max="9473" width="6.140625" style="59" customWidth="1"/>
    <col min="9474" max="9474" width="16.7109375" style="59" customWidth="1"/>
    <col min="9475" max="9476" width="9.85546875" style="59" bestFit="1" customWidth="1"/>
    <col min="9477" max="9477" width="9.140625" style="59" bestFit="1" customWidth="1"/>
    <col min="9478" max="9478" width="9.140625" style="59"/>
    <col min="9479" max="9479" width="9" style="59" customWidth="1"/>
    <col min="9480" max="9480" width="9.140625" style="59" bestFit="1" customWidth="1"/>
    <col min="9481" max="9481" width="9" style="59" customWidth="1"/>
    <col min="9482" max="9482" width="8.85546875" style="59" bestFit="1" customWidth="1"/>
    <col min="9483" max="9483" width="9.140625" style="59"/>
    <col min="9484" max="9484" width="8.85546875" style="59" bestFit="1" customWidth="1"/>
    <col min="9485" max="9485" width="9" style="59" bestFit="1" customWidth="1"/>
    <col min="9486" max="9486" width="9" style="59" customWidth="1"/>
    <col min="9487" max="9487" width="8.85546875" style="59" bestFit="1" customWidth="1"/>
    <col min="9488" max="9490" width="9.140625" style="59"/>
    <col min="9491" max="9491" width="24.140625" style="59" bestFit="1" customWidth="1"/>
    <col min="9492" max="9492" width="10.42578125" style="59" customWidth="1"/>
    <col min="9493" max="9493" width="10.28515625" style="59" customWidth="1"/>
    <col min="9494" max="9728" width="9.140625" style="59"/>
    <col min="9729" max="9729" width="6.140625" style="59" customWidth="1"/>
    <col min="9730" max="9730" width="16.7109375" style="59" customWidth="1"/>
    <col min="9731" max="9732" width="9.85546875" style="59" bestFit="1" customWidth="1"/>
    <col min="9733" max="9733" width="9.140625" style="59" bestFit="1" customWidth="1"/>
    <col min="9734" max="9734" width="9.140625" style="59"/>
    <col min="9735" max="9735" width="9" style="59" customWidth="1"/>
    <col min="9736" max="9736" width="9.140625" style="59" bestFit="1" customWidth="1"/>
    <col min="9737" max="9737" width="9" style="59" customWidth="1"/>
    <col min="9738" max="9738" width="8.85546875" style="59" bestFit="1" customWidth="1"/>
    <col min="9739" max="9739" width="9.140625" style="59"/>
    <col min="9740" max="9740" width="8.85546875" style="59" bestFit="1" customWidth="1"/>
    <col min="9741" max="9741" width="9" style="59" bestFit="1" customWidth="1"/>
    <col min="9742" max="9742" width="9" style="59" customWidth="1"/>
    <col min="9743" max="9743" width="8.85546875" style="59" bestFit="1" customWidth="1"/>
    <col min="9744" max="9746" width="9.140625" style="59"/>
    <col min="9747" max="9747" width="24.140625" style="59" bestFit="1" customWidth="1"/>
    <col min="9748" max="9748" width="10.42578125" style="59" customWidth="1"/>
    <col min="9749" max="9749" width="10.28515625" style="59" customWidth="1"/>
    <col min="9750" max="9984" width="9.140625" style="59"/>
    <col min="9985" max="9985" width="6.140625" style="59" customWidth="1"/>
    <col min="9986" max="9986" width="16.7109375" style="59" customWidth="1"/>
    <col min="9987" max="9988" width="9.85546875" style="59" bestFit="1" customWidth="1"/>
    <col min="9989" max="9989" width="9.140625" style="59" bestFit="1" customWidth="1"/>
    <col min="9990" max="9990" width="9.140625" style="59"/>
    <col min="9991" max="9991" width="9" style="59" customWidth="1"/>
    <col min="9992" max="9992" width="9.140625" style="59" bestFit="1" customWidth="1"/>
    <col min="9993" max="9993" width="9" style="59" customWidth="1"/>
    <col min="9994" max="9994" width="8.85546875" style="59" bestFit="1" customWidth="1"/>
    <col min="9995" max="9995" width="9.140625" style="59"/>
    <col min="9996" max="9996" width="8.85546875" style="59" bestFit="1" customWidth="1"/>
    <col min="9997" max="9997" width="9" style="59" bestFit="1" customWidth="1"/>
    <col min="9998" max="9998" width="9" style="59" customWidth="1"/>
    <col min="9999" max="9999" width="8.85546875" style="59" bestFit="1" customWidth="1"/>
    <col min="10000" max="10002" width="9.140625" style="59"/>
    <col min="10003" max="10003" width="24.140625" style="59" bestFit="1" customWidth="1"/>
    <col min="10004" max="10004" width="10.42578125" style="59" customWidth="1"/>
    <col min="10005" max="10005" width="10.28515625" style="59" customWidth="1"/>
    <col min="10006" max="10240" width="9.140625" style="59"/>
    <col min="10241" max="10241" width="6.140625" style="59" customWidth="1"/>
    <col min="10242" max="10242" width="16.7109375" style="59" customWidth="1"/>
    <col min="10243" max="10244" width="9.85546875" style="59" bestFit="1" customWidth="1"/>
    <col min="10245" max="10245" width="9.140625" style="59" bestFit="1" customWidth="1"/>
    <col min="10246" max="10246" width="9.140625" style="59"/>
    <col min="10247" max="10247" width="9" style="59" customWidth="1"/>
    <col min="10248" max="10248" width="9.140625" style="59" bestFit="1" customWidth="1"/>
    <col min="10249" max="10249" width="9" style="59" customWidth="1"/>
    <col min="10250" max="10250" width="8.85546875" style="59" bestFit="1" customWidth="1"/>
    <col min="10251" max="10251" width="9.140625" style="59"/>
    <col min="10252" max="10252" width="8.85546875" style="59" bestFit="1" customWidth="1"/>
    <col min="10253" max="10253" width="9" style="59" bestFit="1" customWidth="1"/>
    <col min="10254" max="10254" width="9" style="59" customWidth="1"/>
    <col min="10255" max="10255" width="8.85546875" style="59" bestFit="1" customWidth="1"/>
    <col min="10256" max="10258" width="9.140625" style="59"/>
    <col min="10259" max="10259" width="24.140625" style="59" bestFit="1" customWidth="1"/>
    <col min="10260" max="10260" width="10.42578125" style="59" customWidth="1"/>
    <col min="10261" max="10261" width="10.28515625" style="59" customWidth="1"/>
    <col min="10262" max="10496" width="9.140625" style="59"/>
    <col min="10497" max="10497" width="6.140625" style="59" customWidth="1"/>
    <col min="10498" max="10498" width="16.7109375" style="59" customWidth="1"/>
    <col min="10499" max="10500" width="9.85546875" style="59" bestFit="1" customWidth="1"/>
    <col min="10501" max="10501" width="9.140625" style="59" bestFit="1" customWidth="1"/>
    <col min="10502" max="10502" width="9.140625" style="59"/>
    <col min="10503" max="10503" width="9" style="59" customWidth="1"/>
    <col min="10504" max="10504" width="9.140625" style="59" bestFit="1" customWidth="1"/>
    <col min="10505" max="10505" width="9" style="59" customWidth="1"/>
    <col min="10506" max="10506" width="8.85546875" style="59" bestFit="1" customWidth="1"/>
    <col min="10507" max="10507" width="9.140625" style="59"/>
    <col min="10508" max="10508" width="8.85546875" style="59" bestFit="1" customWidth="1"/>
    <col min="10509" max="10509" width="9" style="59" bestFit="1" customWidth="1"/>
    <col min="10510" max="10510" width="9" style="59" customWidth="1"/>
    <col min="10511" max="10511" width="8.85546875" style="59" bestFit="1" customWidth="1"/>
    <col min="10512" max="10514" width="9.140625" style="59"/>
    <col min="10515" max="10515" width="24.140625" style="59" bestFit="1" customWidth="1"/>
    <col min="10516" max="10516" width="10.42578125" style="59" customWidth="1"/>
    <col min="10517" max="10517" width="10.28515625" style="59" customWidth="1"/>
    <col min="10518" max="10752" width="9.140625" style="59"/>
    <col min="10753" max="10753" width="6.140625" style="59" customWidth="1"/>
    <col min="10754" max="10754" width="16.7109375" style="59" customWidth="1"/>
    <col min="10755" max="10756" width="9.85546875" style="59" bestFit="1" customWidth="1"/>
    <col min="10757" max="10757" width="9.140625" style="59" bestFit="1" customWidth="1"/>
    <col min="10758" max="10758" width="9.140625" style="59"/>
    <col min="10759" max="10759" width="9" style="59" customWidth="1"/>
    <col min="10760" max="10760" width="9.140625" style="59" bestFit="1" customWidth="1"/>
    <col min="10761" max="10761" width="9" style="59" customWidth="1"/>
    <col min="10762" max="10762" width="8.85546875" style="59" bestFit="1" customWidth="1"/>
    <col min="10763" max="10763" width="9.140625" style="59"/>
    <col min="10764" max="10764" width="8.85546875" style="59" bestFit="1" customWidth="1"/>
    <col min="10765" max="10765" width="9" style="59" bestFit="1" customWidth="1"/>
    <col min="10766" max="10766" width="9" style="59" customWidth="1"/>
    <col min="10767" max="10767" width="8.85546875" style="59" bestFit="1" customWidth="1"/>
    <col min="10768" max="10770" width="9.140625" style="59"/>
    <col min="10771" max="10771" width="24.140625" style="59" bestFit="1" customWidth="1"/>
    <col min="10772" max="10772" width="10.42578125" style="59" customWidth="1"/>
    <col min="10773" max="10773" width="10.28515625" style="59" customWidth="1"/>
    <col min="10774" max="11008" width="9.140625" style="59"/>
    <col min="11009" max="11009" width="6.140625" style="59" customWidth="1"/>
    <col min="11010" max="11010" width="16.7109375" style="59" customWidth="1"/>
    <col min="11011" max="11012" width="9.85546875" style="59" bestFit="1" customWidth="1"/>
    <col min="11013" max="11013" width="9.140625" style="59" bestFit="1" customWidth="1"/>
    <col min="11014" max="11014" width="9.140625" style="59"/>
    <col min="11015" max="11015" width="9" style="59" customWidth="1"/>
    <col min="11016" max="11016" width="9.140625" style="59" bestFit="1" customWidth="1"/>
    <col min="11017" max="11017" width="9" style="59" customWidth="1"/>
    <col min="11018" max="11018" width="8.85546875" style="59" bestFit="1" customWidth="1"/>
    <col min="11019" max="11019" width="9.140625" style="59"/>
    <col min="11020" max="11020" width="8.85546875" style="59" bestFit="1" customWidth="1"/>
    <col min="11021" max="11021" width="9" style="59" bestFit="1" customWidth="1"/>
    <col min="11022" max="11022" width="9" style="59" customWidth="1"/>
    <col min="11023" max="11023" width="8.85546875" style="59" bestFit="1" customWidth="1"/>
    <col min="11024" max="11026" width="9.140625" style="59"/>
    <col min="11027" max="11027" width="24.140625" style="59" bestFit="1" customWidth="1"/>
    <col min="11028" max="11028" width="10.42578125" style="59" customWidth="1"/>
    <col min="11029" max="11029" width="10.28515625" style="59" customWidth="1"/>
    <col min="11030" max="11264" width="9.140625" style="59"/>
    <col min="11265" max="11265" width="6.140625" style="59" customWidth="1"/>
    <col min="11266" max="11266" width="16.7109375" style="59" customWidth="1"/>
    <col min="11267" max="11268" width="9.85546875" style="59" bestFit="1" customWidth="1"/>
    <col min="11269" max="11269" width="9.140625" style="59" bestFit="1" customWidth="1"/>
    <col min="11270" max="11270" width="9.140625" style="59"/>
    <col min="11271" max="11271" width="9" style="59" customWidth="1"/>
    <col min="11272" max="11272" width="9.140625" style="59" bestFit="1" customWidth="1"/>
    <col min="11273" max="11273" width="9" style="59" customWidth="1"/>
    <col min="11274" max="11274" width="8.85546875" style="59" bestFit="1" customWidth="1"/>
    <col min="11275" max="11275" width="9.140625" style="59"/>
    <col min="11276" max="11276" width="8.85546875" style="59" bestFit="1" customWidth="1"/>
    <col min="11277" max="11277" width="9" style="59" bestFit="1" customWidth="1"/>
    <col min="11278" max="11278" width="9" style="59" customWidth="1"/>
    <col min="11279" max="11279" width="8.85546875" style="59" bestFit="1" customWidth="1"/>
    <col min="11280" max="11282" width="9.140625" style="59"/>
    <col min="11283" max="11283" width="24.140625" style="59" bestFit="1" customWidth="1"/>
    <col min="11284" max="11284" width="10.42578125" style="59" customWidth="1"/>
    <col min="11285" max="11285" width="10.28515625" style="59" customWidth="1"/>
    <col min="11286" max="11520" width="9.140625" style="59"/>
    <col min="11521" max="11521" width="6.140625" style="59" customWidth="1"/>
    <col min="11522" max="11522" width="16.7109375" style="59" customWidth="1"/>
    <col min="11523" max="11524" width="9.85546875" style="59" bestFit="1" customWidth="1"/>
    <col min="11525" max="11525" width="9.140625" style="59" bestFit="1" customWidth="1"/>
    <col min="11526" max="11526" width="9.140625" style="59"/>
    <col min="11527" max="11527" width="9" style="59" customWidth="1"/>
    <col min="11528" max="11528" width="9.140625" style="59" bestFit="1" customWidth="1"/>
    <col min="11529" max="11529" width="9" style="59" customWidth="1"/>
    <col min="11530" max="11530" width="8.85546875" style="59" bestFit="1" customWidth="1"/>
    <col min="11531" max="11531" width="9.140625" style="59"/>
    <col min="11532" max="11532" width="8.85546875" style="59" bestFit="1" customWidth="1"/>
    <col min="11533" max="11533" width="9" style="59" bestFit="1" customWidth="1"/>
    <col min="11534" max="11534" width="9" style="59" customWidth="1"/>
    <col min="11535" max="11535" width="8.85546875" style="59" bestFit="1" customWidth="1"/>
    <col min="11536" max="11538" width="9.140625" style="59"/>
    <col min="11539" max="11539" width="24.140625" style="59" bestFit="1" customWidth="1"/>
    <col min="11540" max="11540" width="10.42578125" style="59" customWidth="1"/>
    <col min="11541" max="11541" width="10.28515625" style="59" customWidth="1"/>
    <col min="11542" max="11776" width="9.140625" style="59"/>
    <col min="11777" max="11777" width="6.140625" style="59" customWidth="1"/>
    <col min="11778" max="11778" width="16.7109375" style="59" customWidth="1"/>
    <col min="11779" max="11780" width="9.85546875" style="59" bestFit="1" customWidth="1"/>
    <col min="11781" max="11781" width="9.140625" style="59" bestFit="1" customWidth="1"/>
    <col min="11782" max="11782" width="9.140625" style="59"/>
    <col min="11783" max="11783" width="9" style="59" customWidth="1"/>
    <col min="11784" max="11784" width="9.140625" style="59" bestFit="1" customWidth="1"/>
    <col min="11785" max="11785" width="9" style="59" customWidth="1"/>
    <col min="11786" max="11786" width="8.85546875" style="59" bestFit="1" customWidth="1"/>
    <col min="11787" max="11787" width="9.140625" style="59"/>
    <col min="11788" max="11788" width="8.85546875" style="59" bestFit="1" customWidth="1"/>
    <col min="11789" max="11789" width="9" style="59" bestFit="1" customWidth="1"/>
    <col min="11790" max="11790" width="9" style="59" customWidth="1"/>
    <col min="11791" max="11791" width="8.85546875" style="59" bestFit="1" customWidth="1"/>
    <col min="11792" max="11794" width="9.140625" style="59"/>
    <col min="11795" max="11795" width="24.140625" style="59" bestFit="1" customWidth="1"/>
    <col min="11796" max="11796" width="10.42578125" style="59" customWidth="1"/>
    <col min="11797" max="11797" width="10.28515625" style="59" customWidth="1"/>
    <col min="11798" max="12032" width="9.140625" style="59"/>
    <col min="12033" max="12033" width="6.140625" style="59" customWidth="1"/>
    <col min="12034" max="12034" width="16.7109375" style="59" customWidth="1"/>
    <col min="12035" max="12036" width="9.85546875" style="59" bestFit="1" customWidth="1"/>
    <col min="12037" max="12037" width="9.140625" style="59" bestFit="1" customWidth="1"/>
    <col min="12038" max="12038" width="9.140625" style="59"/>
    <col min="12039" max="12039" width="9" style="59" customWidth="1"/>
    <col min="12040" max="12040" width="9.140625" style="59" bestFit="1" customWidth="1"/>
    <col min="12041" max="12041" width="9" style="59" customWidth="1"/>
    <col min="12042" max="12042" width="8.85546875" style="59" bestFit="1" customWidth="1"/>
    <col min="12043" max="12043" width="9.140625" style="59"/>
    <col min="12044" max="12044" width="8.85546875" style="59" bestFit="1" customWidth="1"/>
    <col min="12045" max="12045" width="9" style="59" bestFit="1" customWidth="1"/>
    <col min="12046" max="12046" width="9" style="59" customWidth="1"/>
    <col min="12047" max="12047" width="8.85546875" style="59" bestFit="1" customWidth="1"/>
    <col min="12048" max="12050" width="9.140625" style="59"/>
    <col min="12051" max="12051" width="24.140625" style="59" bestFit="1" customWidth="1"/>
    <col min="12052" max="12052" width="10.42578125" style="59" customWidth="1"/>
    <col min="12053" max="12053" width="10.28515625" style="59" customWidth="1"/>
    <col min="12054" max="12288" width="9.140625" style="59"/>
    <col min="12289" max="12289" width="6.140625" style="59" customWidth="1"/>
    <col min="12290" max="12290" width="16.7109375" style="59" customWidth="1"/>
    <col min="12291" max="12292" width="9.85546875" style="59" bestFit="1" customWidth="1"/>
    <col min="12293" max="12293" width="9.140625" style="59" bestFit="1" customWidth="1"/>
    <col min="12294" max="12294" width="9.140625" style="59"/>
    <col min="12295" max="12295" width="9" style="59" customWidth="1"/>
    <col min="12296" max="12296" width="9.140625" style="59" bestFit="1" customWidth="1"/>
    <col min="12297" max="12297" width="9" style="59" customWidth="1"/>
    <col min="12298" max="12298" width="8.85546875" style="59" bestFit="1" customWidth="1"/>
    <col min="12299" max="12299" width="9.140625" style="59"/>
    <col min="12300" max="12300" width="8.85546875" style="59" bestFit="1" customWidth="1"/>
    <col min="12301" max="12301" width="9" style="59" bestFit="1" customWidth="1"/>
    <col min="12302" max="12302" width="9" style="59" customWidth="1"/>
    <col min="12303" max="12303" width="8.85546875" style="59" bestFit="1" customWidth="1"/>
    <col min="12304" max="12306" width="9.140625" style="59"/>
    <col min="12307" max="12307" width="24.140625" style="59" bestFit="1" customWidth="1"/>
    <col min="12308" max="12308" width="10.42578125" style="59" customWidth="1"/>
    <col min="12309" max="12309" width="10.28515625" style="59" customWidth="1"/>
    <col min="12310" max="12544" width="9.140625" style="59"/>
    <col min="12545" max="12545" width="6.140625" style="59" customWidth="1"/>
    <col min="12546" max="12546" width="16.7109375" style="59" customWidth="1"/>
    <col min="12547" max="12548" width="9.85546875" style="59" bestFit="1" customWidth="1"/>
    <col min="12549" max="12549" width="9.140625" style="59" bestFit="1" customWidth="1"/>
    <col min="12550" max="12550" width="9.140625" style="59"/>
    <col min="12551" max="12551" width="9" style="59" customWidth="1"/>
    <col min="12552" max="12552" width="9.140625" style="59" bestFit="1" customWidth="1"/>
    <col min="12553" max="12553" width="9" style="59" customWidth="1"/>
    <col min="12554" max="12554" width="8.85546875" style="59" bestFit="1" customWidth="1"/>
    <col min="12555" max="12555" width="9.140625" style="59"/>
    <col min="12556" max="12556" width="8.85546875" style="59" bestFit="1" customWidth="1"/>
    <col min="12557" max="12557" width="9" style="59" bestFit="1" customWidth="1"/>
    <col min="12558" max="12558" width="9" style="59" customWidth="1"/>
    <col min="12559" max="12559" width="8.85546875" style="59" bestFit="1" customWidth="1"/>
    <col min="12560" max="12562" width="9.140625" style="59"/>
    <col min="12563" max="12563" width="24.140625" style="59" bestFit="1" customWidth="1"/>
    <col min="12564" max="12564" width="10.42578125" style="59" customWidth="1"/>
    <col min="12565" max="12565" width="10.28515625" style="59" customWidth="1"/>
    <col min="12566" max="12800" width="9.140625" style="59"/>
    <col min="12801" max="12801" width="6.140625" style="59" customWidth="1"/>
    <col min="12802" max="12802" width="16.7109375" style="59" customWidth="1"/>
    <col min="12803" max="12804" width="9.85546875" style="59" bestFit="1" customWidth="1"/>
    <col min="12805" max="12805" width="9.140625" style="59" bestFit="1" customWidth="1"/>
    <col min="12806" max="12806" width="9.140625" style="59"/>
    <col min="12807" max="12807" width="9" style="59" customWidth="1"/>
    <col min="12808" max="12808" width="9.140625" style="59" bestFit="1" customWidth="1"/>
    <col min="12809" max="12809" width="9" style="59" customWidth="1"/>
    <col min="12810" max="12810" width="8.85546875" style="59" bestFit="1" customWidth="1"/>
    <col min="12811" max="12811" width="9.140625" style="59"/>
    <col min="12812" max="12812" width="8.85546875" style="59" bestFit="1" customWidth="1"/>
    <col min="12813" max="12813" width="9" style="59" bestFit="1" customWidth="1"/>
    <col min="12814" max="12814" width="9" style="59" customWidth="1"/>
    <col min="12815" max="12815" width="8.85546875" style="59" bestFit="1" customWidth="1"/>
    <col min="12816" max="12818" width="9.140625" style="59"/>
    <col min="12819" max="12819" width="24.140625" style="59" bestFit="1" customWidth="1"/>
    <col min="12820" max="12820" width="10.42578125" style="59" customWidth="1"/>
    <col min="12821" max="12821" width="10.28515625" style="59" customWidth="1"/>
    <col min="12822" max="13056" width="9.140625" style="59"/>
    <col min="13057" max="13057" width="6.140625" style="59" customWidth="1"/>
    <col min="13058" max="13058" width="16.7109375" style="59" customWidth="1"/>
    <col min="13059" max="13060" width="9.85546875" style="59" bestFit="1" customWidth="1"/>
    <col min="13061" max="13061" width="9.140625" style="59" bestFit="1" customWidth="1"/>
    <col min="13062" max="13062" width="9.140625" style="59"/>
    <col min="13063" max="13063" width="9" style="59" customWidth="1"/>
    <col min="13064" max="13064" width="9.140625" style="59" bestFit="1" customWidth="1"/>
    <col min="13065" max="13065" width="9" style="59" customWidth="1"/>
    <col min="13066" max="13066" width="8.85546875" style="59" bestFit="1" customWidth="1"/>
    <col min="13067" max="13067" width="9.140625" style="59"/>
    <col min="13068" max="13068" width="8.85546875" style="59" bestFit="1" customWidth="1"/>
    <col min="13069" max="13069" width="9" style="59" bestFit="1" customWidth="1"/>
    <col min="13070" max="13070" width="9" style="59" customWidth="1"/>
    <col min="13071" max="13071" width="8.85546875" style="59" bestFit="1" customWidth="1"/>
    <col min="13072" max="13074" width="9.140625" style="59"/>
    <col min="13075" max="13075" width="24.140625" style="59" bestFit="1" customWidth="1"/>
    <col min="13076" max="13076" width="10.42578125" style="59" customWidth="1"/>
    <col min="13077" max="13077" width="10.28515625" style="59" customWidth="1"/>
    <col min="13078" max="13312" width="9.140625" style="59"/>
    <col min="13313" max="13313" width="6.140625" style="59" customWidth="1"/>
    <col min="13314" max="13314" width="16.7109375" style="59" customWidth="1"/>
    <col min="13315" max="13316" width="9.85546875" style="59" bestFit="1" customWidth="1"/>
    <col min="13317" max="13317" width="9.140625" style="59" bestFit="1" customWidth="1"/>
    <col min="13318" max="13318" width="9.140625" style="59"/>
    <col min="13319" max="13319" width="9" style="59" customWidth="1"/>
    <col min="13320" max="13320" width="9.140625" style="59" bestFit="1" customWidth="1"/>
    <col min="13321" max="13321" width="9" style="59" customWidth="1"/>
    <col min="13322" max="13322" width="8.85546875" style="59" bestFit="1" customWidth="1"/>
    <col min="13323" max="13323" width="9.140625" style="59"/>
    <col min="13324" max="13324" width="8.85546875" style="59" bestFit="1" customWidth="1"/>
    <col min="13325" max="13325" width="9" style="59" bestFit="1" customWidth="1"/>
    <col min="13326" max="13326" width="9" style="59" customWidth="1"/>
    <col min="13327" max="13327" width="8.85546875" style="59" bestFit="1" customWidth="1"/>
    <col min="13328" max="13330" width="9.140625" style="59"/>
    <col min="13331" max="13331" width="24.140625" style="59" bestFit="1" customWidth="1"/>
    <col min="13332" max="13332" width="10.42578125" style="59" customWidth="1"/>
    <col min="13333" max="13333" width="10.28515625" style="59" customWidth="1"/>
    <col min="13334" max="13568" width="9.140625" style="59"/>
    <col min="13569" max="13569" width="6.140625" style="59" customWidth="1"/>
    <col min="13570" max="13570" width="16.7109375" style="59" customWidth="1"/>
    <col min="13571" max="13572" width="9.85546875" style="59" bestFit="1" customWidth="1"/>
    <col min="13573" max="13573" width="9.140625" style="59" bestFit="1" customWidth="1"/>
    <col min="13574" max="13574" width="9.140625" style="59"/>
    <col min="13575" max="13575" width="9" style="59" customWidth="1"/>
    <col min="13576" max="13576" width="9.140625" style="59" bestFit="1" customWidth="1"/>
    <col min="13577" max="13577" width="9" style="59" customWidth="1"/>
    <col min="13578" max="13578" width="8.85546875" style="59" bestFit="1" customWidth="1"/>
    <col min="13579" max="13579" width="9.140625" style="59"/>
    <col min="13580" max="13580" width="8.85546875" style="59" bestFit="1" customWidth="1"/>
    <col min="13581" max="13581" width="9" style="59" bestFit="1" customWidth="1"/>
    <col min="13582" max="13582" width="9" style="59" customWidth="1"/>
    <col min="13583" max="13583" width="8.85546875" style="59" bestFit="1" customWidth="1"/>
    <col min="13584" max="13586" width="9.140625" style="59"/>
    <col min="13587" max="13587" width="24.140625" style="59" bestFit="1" customWidth="1"/>
    <col min="13588" max="13588" width="10.42578125" style="59" customWidth="1"/>
    <col min="13589" max="13589" width="10.28515625" style="59" customWidth="1"/>
    <col min="13590" max="13824" width="9.140625" style="59"/>
    <col min="13825" max="13825" width="6.140625" style="59" customWidth="1"/>
    <col min="13826" max="13826" width="16.7109375" style="59" customWidth="1"/>
    <col min="13827" max="13828" width="9.85546875" style="59" bestFit="1" customWidth="1"/>
    <col min="13829" max="13829" width="9.140625" style="59" bestFit="1" customWidth="1"/>
    <col min="13830" max="13830" width="9.140625" style="59"/>
    <col min="13831" max="13831" width="9" style="59" customWidth="1"/>
    <col min="13832" max="13832" width="9.140625" style="59" bestFit="1" customWidth="1"/>
    <col min="13833" max="13833" width="9" style="59" customWidth="1"/>
    <col min="13834" max="13834" width="8.85546875" style="59" bestFit="1" customWidth="1"/>
    <col min="13835" max="13835" width="9.140625" style="59"/>
    <col min="13836" max="13836" width="8.85546875" style="59" bestFit="1" customWidth="1"/>
    <col min="13837" max="13837" width="9" style="59" bestFit="1" customWidth="1"/>
    <col min="13838" max="13838" width="9" style="59" customWidth="1"/>
    <col min="13839" max="13839" width="8.85546875" style="59" bestFit="1" customWidth="1"/>
    <col min="13840" max="13842" width="9.140625" style="59"/>
    <col min="13843" max="13843" width="24.140625" style="59" bestFit="1" customWidth="1"/>
    <col min="13844" max="13844" width="10.42578125" style="59" customWidth="1"/>
    <col min="13845" max="13845" width="10.28515625" style="59" customWidth="1"/>
    <col min="13846" max="14080" width="9.140625" style="59"/>
    <col min="14081" max="14081" width="6.140625" style="59" customWidth="1"/>
    <col min="14082" max="14082" width="16.7109375" style="59" customWidth="1"/>
    <col min="14083" max="14084" width="9.85546875" style="59" bestFit="1" customWidth="1"/>
    <col min="14085" max="14085" width="9.140625" style="59" bestFit="1" customWidth="1"/>
    <col min="14086" max="14086" width="9.140625" style="59"/>
    <col min="14087" max="14087" width="9" style="59" customWidth="1"/>
    <col min="14088" max="14088" width="9.140625" style="59" bestFit="1" customWidth="1"/>
    <col min="14089" max="14089" width="9" style="59" customWidth="1"/>
    <col min="14090" max="14090" width="8.85546875" style="59" bestFit="1" customWidth="1"/>
    <col min="14091" max="14091" width="9.140625" style="59"/>
    <col min="14092" max="14092" width="8.85546875" style="59" bestFit="1" customWidth="1"/>
    <col min="14093" max="14093" width="9" style="59" bestFit="1" customWidth="1"/>
    <col min="14094" max="14094" width="9" style="59" customWidth="1"/>
    <col min="14095" max="14095" width="8.85546875" style="59" bestFit="1" customWidth="1"/>
    <col min="14096" max="14098" width="9.140625" style="59"/>
    <col min="14099" max="14099" width="24.140625" style="59" bestFit="1" customWidth="1"/>
    <col min="14100" max="14100" width="10.42578125" style="59" customWidth="1"/>
    <col min="14101" max="14101" width="10.28515625" style="59" customWidth="1"/>
    <col min="14102" max="14336" width="9.140625" style="59"/>
    <col min="14337" max="14337" width="6.140625" style="59" customWidth="1"/>
    <col min="14338" max="14338" width="16.7109375" style="59" customWidth="1"/>
    <col min="14339" max="14340" width="9.85546875" style="59" bestFit="1" customWidth="1"/>
    <col min="14341" max="14341" width="9.140625" style="59" bestFit="1" customWidth="1"/>
    <col min="14342" max="14342" width="9.140625" style="59"/>
    <col min="14343" max="14343" width="9" style="59" customWidth="1"/>
    <col min="14344" max="14344" width="9.140625" style="59" bestFit="1" customWidth="1"/>
    <col min="14345" max="14345" width="9" style="59" customWidth="1"/>
    <col min="14346" max="14346" width="8.85546875" style="59" bestFit="1" customWidth="1"/>
    <col min="14347" max="14347" width="9.140625" style="59"/>
    <col min="14348" max="14348" width="8.85546875" style="59" bestFit="1" customWidth="1"/>
    <col min="14349" max="14349" width="9" style="59" bestFit="1" customWidth="1"/>
    <col min="14350" max="14350" width="9" style="59" customWidth="1"/>
    <col min="14351" max="14351" width="8.85546875" style="59" bestFit="1" customWidth="1"/>
    <col min="14352" max="14354" width="9.140625" style="59"/>
    <col min="14355" max="14355" width="24.140625" style="59" bestFit="1" customWidth="1"/>
    <col min="14356" max="14356" width="10.42578125" style="59" customWidth="1"/>
    <col min="14357" max="14357" width="10.28515625" style="59" customWidth="1"/>
    <col min="14358" max="14592" width="9.140625" style="59"/>
    <col min="14593" max="14593" width="6.140625" style="59" customWidth="1"/>
    <col min="14594" max="14594" width="16.7109375" style="59" customWidth="1"/>
    <col min="14595" max="14596" width="9.85546875" style="59" bestFit="1" customWidth="1"/>
    <col min="14597" max="14597" width="9.140625" style="59" bestFit="1" customWidth="1"/>
    <col min="14598" max="14598" width="9.140625" style="59"/>
    <col min="14599" max="14599" width="9" style="59" customWidth="1"/>
    <col min="14600" max="14600" width="9.140625" style="59" bestFit="1" customWidth="1"/>
    <col min="14601" max="14601" width="9" style="59" customWidth="1"/>
    <col min="14602" max="14602" width="8.85546875" style="59" bestFit="1" customWidth="1"/>
    <col min="14603" max="14603" width="9.140625" style="59"/>
    <col min="14604" max="14604" width="8.85546875" style="59" bestFit="1" customWidth="1"/>
    <col min="14605" max="14605" width="9" style="59" bestFit="1" customWidth="1"/>
    <col min="14606" max="14606" width="9" style="59" customWidth="1"/>
    <col min="14607" max="14607" width="8.85546875" style="59" bestFit="1" customWidth="1"/>
    <col min="14608" max="14610" width="9.140625" style="59"/>
    <col min="14611" max="14611" width="24.140625" style="59" bestFit="1" customWidth="1"/>
    <col min="14612" max="14612" width="10.42578125" style="59" customWidth="1"/>
    <col min="14613" max="14613" width="10.28515625" style="59" customWidth="1"/>
    <col min="14614" max="14848" width="9.140625" style="59"/>
    <col min="14849" max="14849" width="6.140625" style="59" customWidth="1"/>
    <col min="14850" max="14850" width="16.7109375" style="59" customWidth="1"/>
    <col min="14851" max="14852" width="9.85546875" style="59" bestFit="1" customWidth="1"/>
    <col min="14853" max="14853" width="9.140625" style="59" bestFit="1" customWidth="1"/>
    <col min="14854" max="14854" width="9.140625" style="59"/>
    <col min="14855" max="14855" width="9" style="59" customWidth="1"/>
    <col min="14856" max="14856" width="9.140625" style="59" bestFit="1" customWidth="1"/>
    <col min="14857" max="14857" width="9" style="59" customWidth="1"/>
    <col min="14858" max="14858" width="8.85546875" style="59" bestFit="1" customWidth="1"/>
    <col min="14859" max="14859" width="9.140625" style="59"/>
    <col min="14860" max="14860" width="8.85546875" style="59" bestFit="1" customWidth="1"/>
    <col min="14861" max="14861" width="9" style="59" bestFit="1" customWidth="1"/>
    <col min="14862" max="14862" width="9" style="59" customWidth="1"/>
    <col min="14863" max="14863" width="8.85546875" style="59" bestFit="1" customWidth="1"/>
    <col min="14864" max="14866" width="9.140625" style="59"/>
    <col min="14867" max="14867" width="24.140625" style="59" bestFit="1" customWidth="1"/>
    <col min="14868" max="14868" width="10.42578125" style="59" customWidth="1"/>
    <col min="14869" max="14869" width="10.28515625" style="59" customWidth="1"/>
    <col min="14870" max="15104" width="9.140625" style="59"/>
    <col min="15105" max="15105" width="6.140625" style="59" customWidth="1"/>
    <col min="15106" max="15106" width="16.7109375" style="59" customWidth="1"/>
    <col min="15107" max="15108" width="9.85546875" style="59" bestFit="1" customWidth="1"/>
    <col min="15109" max="15109" width="9.140625" style="59" bestFit="1" customWidth="1"/>
    <col min="15110" max="15110" width="9.140625" style="59"/>
    <col min="15111" max="15111" width="9" style="59" customWidth="1"/>
    <col min="15112" max="15112" width="9.140625" style="59" bestFit="1" customWidth="1"/>
    <col min="15113" max="15113" width="9" style="59" customWidth="1"/>
    <col min="15114" max="15114" width="8.85546875" style="59" bestFit="1" customWidth="1"/>
    <col min="15115" max="15115" width="9.140625" style="59"/>
    <col min="15116" max="15116" width="8.85546875" style="59" bestFit="1" customWidth="1"/>
    <col min="15117" max="15117" width="9" style="59" bestFit="1" customWidth="1"/>
    <col min="15118" max="15118" width="9" style="59" customWidth="1"/>
    <col min="15119" max="15119" width="8.85546875" style="59" bestFit="1" customWidth="1"/>
    <col min="15120" max="15122" width="9.140625" style="59"/>
    <col min="15123" max="15123" width="24.140625" style="59" bestFit="1" customWidth="1"/>
    <col min="15124" max="15124" width="10.42578125" style="59" customWidth="1"/>
    <col min="15125" max="15125" width="10.28515625" style="59" customWidth="1"/>
    <col min="15126" max="15360" width="9.140625" style="59"/>
    <col min="15361" max="15361" width="6.140625" style="59" customWidth="1"/>
    <col min="15362" max="15362" width="16.7109375" style="59" customWidth="1"/>
    <col min="15363" max="15364" width="9.85546875" style="59" bestFit="1" customWidth="1"/>
    <col min="15365" max="15365" width="9.140625" style="59" bestFit="1" customWidth="1"/>
    <col min="15366" max="15366" width="9.140625" style="59"/>
    <col min="15367" max="15367" width="9" style="59" customWidth="1"/>
    <col min="15368" max="15368" width="9.140625" style="59" bestFit="1" customWidth="1"/>
    <col min="15369" max="15369" width="9" style="59" customWidth="1"/>
    <col min="15370" max="15370" width="8.85546875" style="59" bestFit="1" customWidth="1"/>
    <col min="15371" max="15371" width="9.140625" style="59"/>
    <col min="15372" max="15372" width="8.85546875" style="59" bestFit="1" customWidth="1"/>
    <col min="15373" max="15373" width="9" style="59" bestFit="1" customWidth="1"/>
    <col min="15374" max="15374" width="9" style="59" customWidth="1"/>
    <col min="15375" max="15375" width="8.85546875" style="59" bestFit="1" customWidth="1"/>
    <col min="15376" max="15378" width="9.140625" style="59"/>
    <col min="15379" max="15379" width="24.140625" style="59" bestFit="1" customWidth="1"/>
    <col min="15380" max="15380" width="10.42578125" style="59" customWidth="1"/>
    <col min="15381" max="15381" width="10.28515625" style="59" customWidth="1"/>
    <col min="15382" max="15616" width="9.140625" style="59"/>
    <col min="15617" max="15617" width="6.140625" style="59" customWidth="1"/>
    <col min="15618" max="15618" width="16.7109375" style="59" customWidth="1"/>
    <col min="15619" max="15620" width="9.85546875" style="59" bestFit="1" customWidth="1"/>
    <col min="15621" max="15621" width="9.140625" style="59" bestFit="1" customWidth="1"/>
    <col min="15622" max="15622" width="9.140625" style="59"/>
    <col min="15623" max="15623" width="9" style="59" customWidth="1"/>
    <col min="15624" max="15624" width="9.140625" style="59" bestFit="1" customWidth="1"/>
    <col min="15625" max="15625" width="9" style="59" customWidth="1"/>
    <col min="15626" max="15626" width="8.85546875" style="59" bestFit="1" customWidth="1"/>
    <col min="15627" max="15627" width="9.140625" style="59"/>
    <col min="15628" max="15628" width="8.85546875" style="59" bestFit="1" customWidth="1"/>
    <col min="15629" max="15629" width="9" style="59" bestFit="1" customWidth="1"/>
    <col min="15630" max="15630" width="9" style="59" customWidth="1"/>
    <col min="15631" max="15631" width="8.85546875" style="59" bestFit="1" customWidth="1"/>
    <col min="15632" max="15634" width="9.140625" style="59"/>
    <col min="15635" max="15635" width="24.140625" style="59" bestFit="1" customWidth="1"/>
    <col min="15636" max="15636" width="10.42578125" style="59" customWidth="1"/>
    <col min="15637" max="15637" width="10.28515625" style="59" customWidth="1"/>
    <col min="15638" max="15872" width="9.140625" style="59"/>
    <col min="15873" max="15873" width="6.140625" style="59" customWidth="1"/>
    <col min="15874" max="15874" width="16.7109375" style="59" customWidth="1"/>
    <col min="15875" max="15876" width="9.85546875" style="59" bestFit="1" customWidth="1"/>
    <col min="15877" max="15877" width="9.140625" style="59" bestFit="1" customWidth="1"/>
    <col min="15878" max="15878" width="9.140625" style="59"/>
    <col min="15879" max="15879" width="9" style="59" customWidth="1"/>
    <col min="15880" max="15880" width="9.140625" style="59" bestFit="1" customWidth="1"/>
    <col min="15881" max="15881" width="9" style="59" customWidth="1"/>
    <col min="15882" max="15882" width="8.85546875" style="59" bestFit="1" customWidth="1"/>
    <col min="15883" max="15883" width="9.140625" style="59"/>
    <col min="15884" max="15884" width="8.85546875" style="59" bestFit="1" customWidth="1"/>
    <col min="15885" max="15885" width="9" style="59" bestFit="1" customWidth="1"/>
    <col min="15886" max="15886" width="9" style="59" customWidth="1"/>
    <col min="15887" max="15887" width="8.85546875" style="59" bestFit="1" customWidth="1"/>
    <col min="15888" max="15890" width="9.140625" style="59"/>
    <col min="15891" max="15891" width="24.140625" style="59" bestFit="1" customWidth="1"/>
    <col min="15892" max="15892" width="10.42578125" style="59" customWidth="1"/>
    <col min="15893" max="15893" width="10.28515625" style="59" customWidth="1"/>
    <col min="15894" max="16128" width="9.140625" style="59"/>
    <col min="16129" max="16129" width="6.140625" style="59" customWidth="1"/>
    <col min="16130" max="16130" width="16.7109375" style="59" customWidth="1"/>
    <col min="16131" max="16132" width="9.85546875" style="59" bestFit="1" customWidth="1"/>
    <col min="16133" max="16133" width="9.140625" style="59" bestFit="1" customWidth="1"/>
    <col min="16134" max="16134" width="9.140625" style="59"/>
    <col min="16135" max="16135" width="9" style="59" customWidth="1"/>
    <col min="16136" max="16136" width="9.140625" style="59" bestFit="1" customWidth="1"/>
    <col min="16137" max="16137" width="9" style="59" customWidth="1"/>
    <col min="16138" max="16138" width="8.85546875" style="59" bestFit="1" customWidth="1"/>
    <col min="16139" max="16139" width="9.140625" style="59"/>
    <col min="16140" max="16140" width="8.85546875" style="59" bestFit="1" customWidth="1"/>
    <col min="16141" max="16141" width="9" style="59" bestFit="1" customWidth="1"/>
    <col min="16142" max="16142" width="9" style="59" customWidth="1"/>
    <col min="16143" max="16143" width="8.85546875" style="59" bestFit="1" customWidth="1"/>
    <col min="16144" max="16146" width="9.140625" style="59"/>
    <col min="16147" max="16147" width="24.140625" style="59" bestFit="1" customWidth="1"/>
    <col min="16148" max="16148" width="10.42578125" style="59" customWidth="1"/>
    <col min="16149" max="16149" width="10.28515625" style="59" customWidth="1"/>
    <col min="16150" max="16384" width="9.140625" style="59"/>
  </cols>
  <sheetData>
    <row r="2" spans="2:15" ht="15">
      <c r="B2" s="187"/>
      <c r="C2" s="332" t="s">
        <v>483</v>
      </c>
      <c r="J2" s="61" t="s">
        <v>515</v>
      </c>
      <c r="K2" s="61"/>
    </row>
    <row r="3" spans="2:15" ht="9" thickBot="1">
      <c r="D3" s="205"/>
    </row>
    <row r="4" spans="2:15">
      <c r="B4" s="333"/>
      <c r="C4" s="334"/>
      <c r="D4" s="38">
        <f>DCLP!I3</f>
        <v>44470</v>
      </c>
      <c r="E4" s="38">
        <f>DCLP!J3</f>
        <v>44440</v>
      </c>
      <c r="F4" s="38">
        <f>DCLP!K3</f>
        <v>44409</v>
      </c>
      <c r="G4" s="38">
        <f>DCLP!L3</f>
        <v>44378</v>
      </c>
      <c r="H4" s="38">
        <f>DCLP!M3</f>
        <v>44348</v>
      </c>
      <c r="I4" s="38">
        <f>DCLP!N3</f>
        <v>44317</v>
      </c>
      <c r="J4" s="38">
        <f>DCLP!O3</f>
        <v>44287</v>
      </c>
      <c r="K4" s="38">
        <f>DCLP!P3</f>
        <v>44256</v>
      </c>
      <c r="L4" s="38">
        <f>DCLP!Q3</f>
        <v>44228</v>
      </c>
      <c r="M4" s="38">
        <f>DCLP!R3</f>
        <v>44197</v>
      </c>
      <c r="N4" s="38">
        <f>DCLP!S3</f>
        <v>44166</v>
      </c>
      <c r="O4" s="38">
        <f>DCLP!T3</f>
        <v>44136</v>
      </c>
    </row>
    <row r="5" spans="2:15" ht="9" thickBot="1">
      <c r="B5" s="335" t="s">
        <v>484</v>
      </c>
      <c r="C5" s="336"/>
      <c r="D5" s="39" t="s">
        <v>38</v>
      </c>
      <c r="E5" s="4" t="s">
        <v>39</v>
      </c>
      <c r="F5" s="39" t="s">
        <v>40</v>
      </c>
      <c r="G5" s="4" t="s">
        <v>41</v>
      </c>
      <c r="H5" s="39" t="s">
        <v>42</v>
      </c>
      <c r="I5" s="4" t="s">
        <v>43</v>
      </c>
      <c r="J5" s="39" t="s">
        <v>89</v>
      </c>
      <c r="K5" s="4" t="s">
        <v>90</v>
      </c>
      <c r="L5" s="39" t="s">
        <v>91</v>
      </c>
      <c r="M5" s="4" t="s">
        <v>92</v>
      </c>
      <c r="N5" s="39" t="s">
        <v>93</v>
      </c>
      <c r="O5" s="337" t="s">
        <v>94</v>
      </c>
    </row>
    <row r="6" spans="2:15">
      <c r="B6" s="338" t="s">
        <v>485</v>
      </c>
      <c r="C6" s="339">
        <f>(SUM(D6:O6))</f>
        <v>65143424.840000004</v>
      </c>
      <c r="D6" s="340">
        <f>DCLP!I50</f>
        <v>5373267.7199999997</v>
      </c>
      <c r="E6" s="340">
        <f>DCLP!J50</f>
        <v>5256222.2600000007</v>
      </c>
      <c r="F6" s="340">
        <f>DCLP!K50</f>
        <v>5077046.9400000004</v>
      </c>
      <c r="G6" s="340">
        <f>DCLP!L50</f>
        <v>5238106.97</v>
      </c>
      <c r="H6" s="340">
        <f>DCLP!M50</f>
        <v>5268303.8599999994</v>
      </c>
      <c r="I6" s="340">
        <f>DCLP!N50</f>
        <v>5506972.3799999999</v>
      </c>
      <c r="J6" s="340">
        <f>DCLP!O50</f>
        <v>5128509.62</v>
      </c>
      <c r="K6" s="340">
        <f>DCLP!P50</f>
        <v>5447167.540000001</v>
      </c>
      <c r="L6" s="340">
        <f>DCLP!Q50</f>
        <v>5340780.45</v>
      </c>
      <c r="M6" s="340">
        <f>DCLP!R50</f>
        <v>5123601</v>
      </c>
      <c r="N6" s="340">
        <f>DCLP!S50</f>
        <v>8446901.4600000009</v>
      </c>
      <c r="O6" s="340">
        <f>DCLP!T50</f>
        <v>3936544.64</v>
      </c>
    </row>
    <row r="7" spans="2:15">
      <c r="B7" s="250" t="s">
        <v>486</v>
      </c>
      <c r="C7" s="184">
        <f>SUM(D7:O7)</f>
        <v>107698370.09999999</v>
      </c>
      <c r="D7" s="184">
        <f>RCL!D37</f>
        <v>9576828.75</v>
      </c>
      <c r="E7" s="184">
        <f>RCL!E37</f>
        <v>7810614.9199999999</v>
      </c>
      <c r="F7" s="184">
        <f>RCL!F37</f>
        <v>8737446.3599999994</v>
      </c>
      <c r="G7" s="184">
        <f>RCL!G37</f>
        <v>11165286.49</v>
      </c>
      <c r="H7" s="184">
        <f>RCL!H37</f>
        <v>8172315.3299999982</v>
      </c>
      <c r="I7" s="184">
        <f>RCL!I37</f>
        <v>9079103.8800000008</v>
      </c>
      <c r="J7" s="184">
        <f>RCL!J37</f>
        <v>8675963.9700000007</v>
      </c>
      <c r="K7" s="184">
        <f>RCL!K37</f>
        <v>8319725.8799999999</v>
      </c>
      <c r="L7" s="184">
        <f>RCL!L37</f>
        <v>8112075.9800000004</v>
      </c>
      <c r="M7" s="184">
        <f>RCL!M37</f>
        <v>9442134.8199999984</v>
      </c>
      <c r="N7" s="184">
        <f>RCL!N37</f>
        <v>11323652.91</v>
      </c>
      <c r="O7" s="184">
        <f>RCL!O37</f>
        <v>7283220.8100000015</v>
      </c>
    </row>
    <row r="8" spans="2:15">
      <c r="B8" s="119" t="s">
        <v>487</v>
      </c>
      <c r="C8" s="341">
        <f>C6/C7</f>
        <v>0.60486918028112302</v>
      </c>
      <c r="D8" s="224">
        <f>D6/D7</f>
        <v>0.56106962547492556</v>
      </c>
      <c r="E8" s="224">
        <f t="shared" ref="E8:O8" si="0">E6/E7</f>
        <v>0.67295882767704041</v>
      </c>
      <c r="F8" s="224">
        <f t="shared" si="0"/>
        <v>0.581067594674195</v>
      </c>
      <c r="G8" s="224">
        <f t="shared" si="0"/>
        <v>0.46914219126319973</v>
      </c>
      <c r="H8" s="224">
        <f t="shared" si="0"/>
        <v>0.64465254303886488</v>
      </c>
      <c r="I8" s="224">
        <f t="shared" si="0"/>
        <v>0.60655461737045346</v>
      </c>
      <c r="J8" s="224">
        <f t="shared" si="0"/>
        <v>0.59111697993831103</v>
      </c>
      <c r="K8" s="224">
        <f t="shared" si="0"/>
        <v>0.65472920845800764</v>
      </c>
      <c r="L8" s="224">
        <f t="shared" si="0"/>
        <v>0.65837406641252882</v>
      </c>
      <c r="M8" s="224">
        <f t="shared" si="0"/>
        <v>0.54263162914676544</v>
      </c>
      <c r="N8" s="224">
        <f t="shared" si="0"/>
        <v>0.7459519933307458</v>
      </c>
      <c r="O8" s="224">
        <f t="shared" si="0"/>
        <v>0.54049502859985366</v>
      </c>
    </row>
    <row r="9" spans="2:15">
      <c r="B9" s="250" t="s">
        <v>488</v>
      </c>
      <c r="C9" s="226">
        <v>0.54</v>
      </c>
      <c r="D9" s="226">
        <v>0.54</v>
      </c>
      <c r="E9" s="226">
        <v>0.54</v>
      </c>
      <c r="F9" s="226">
        <v>0.54</v>
      </c>
      <c r="G9" s="226">
        <v>0.54</v>
      </c>
      <c r="H9" s="226">
        <v>0.54</v>
      </c>
      <c r="I9" s="226">
        <v>0.54</v>
      </c>
      <c r="J9" s="226">
        <v>0.54</v>
      </c>
      <c r="K9" s="226">
        <v>0.54</v>
      </c>
      <c r="L9" s="226">
        <v>0.54</v>
      </c>
      <c r="M9" s="226">
        <v>0.54</v>
      </c>
      <c r="N9" s="226">
        <v>0.54</v>
      </c>
      <c r="O9" s="226">
        <v>0.54</v>
      </c>
    </row>
    <row r="10" spans="2:15">
      <c r="B10" s="89" t="s">
        <v>964</v>
      </c>
      <c r="C10" s="59" t="s">
        <v>965</v>
      </c>
      <c r="D10" s="342"/>
      <c r="E10" s="342"/>
      <c r="F10" s="342"/>
      <c r="G10" s="342"/>
      <c r="H10" s="342"/>
      <c r="I10" s="342"/>
      <c r="J10" s="342"/>
      <c r="K10" s="342"/>
      <c r="L10" s="342"/>
      <c r="M10" s="342"/>
      <c r="N10" s="342"/>
      <c r="O10" s="342"/>
    </row>
    <row r="11" spans="2:15">
      <c r="C11" s="235"/>
      <c r="D11" s="235"/>
      <c r="E11" s="235"/>
      <c r="F11" s="235"/>
    </row>
    <row r="23" spans="17:17">
      <c r="Q23" s="345"/>
    </row>
    <row r="53" spans="2:11">
      <c r="B53" s="89" t="s">
        <v>489</v>
      </c>
      <c r="C53" s="112" t="s">
        <v>849</v>
      </c>
    </row>
    <row r="57" spans="2:11" s="57" customFormat="1" ht="11.25">
      <c r="B57" s="54"/>
      <c r="C57" s="55" t="s">
        <v>103</v>
      </c>
      <c r="D57" s="54"/>
      <c r="E57" s="54"/>
      <c r="F57" s="56" t="s">
        <v>104</v>
      </c>
      <c r="G57" s="56"/>
      <c r="I57" s="55"/>
      <c r="J57" s="58" t="s">
        <v>105</v>
      </c>
      <c r="K57" s="58"/>
    </row>
    <row r="58" spans="2:11" s="57" customFormat="1" ht="11.25">
      <c r="B58" s="54"/>
      <c r="C58" s="55" t="s">
        <v>106</v>
      </c>
      <c r="D58" s="54"/>
      <c r="E58" s="54"/>
      <c r="F58" s="56" t="s">
        <v>107</v>
      </c>
      <c r="G58" s="56"/>
      <c r="I58" s="55"/>
      <c r="J58" s="58" t="s">
        <v>108</v>
      </c>
      <c r="K58" s="58"/>
    </row>
    <row r="59" spans="2:11">
      <c r="F59" s="60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2:O78"/>
  <sheetViews>
    <sheetView workbookViewId="0">
      <selection activeCell="D46" sqref="D46"/>
    </sheetView>
  </sheetViews>
  <sheetFormatPr defaultRowHeight="8.25"/>
  <cols>
    <col min="1" max="1" width="7.85546875" style="3" customWidth="1"/>
    <col min="2" max="2" width="17.28515625" style="3" customWidth="1"/>
    <col min="3" max="3" width="3.5703125" style="3" customWidth="1"/>
    <col min="4" max="4" width="9.42578125" style="3" bestFit="1" customWidth="1"/>
    <col min="5" max="5" width="10.42578125" style="3" customWidth="1"/>
    <col min="6" max="6" width="8.85546875" style="3" customWidth="1"/>
    <col min="7" max="7" width="9" style="3" customWidth="1"/>
    <col min="8" max="8" width="9.28515625" style="3" customWidth="1"/>
    <col min="9" max="9" width="9.5703125" style="3" bestFit="1" customWidth="1"/>
    <col min="10" max="10" width="9.140625" style="3" bestFit="1" customWidth="1"/>
    <col min="11" max="11" width="9" style="3" bestFit="1" customWidth="1"/>
    <col min="12" max="12" width="9.5703125" style="3" bestFit="1" customWidth="1"/>
    <col min="13" max="13" width="9.5703125" style="3" customWidth="1"/>
    <col min="14" max="14" width="11.42578125" style="3" customWidth="1"/>
    <col min="15" max="15" width="8.140625" style="3" bestFit="1" customWidth="1"/>
    <col min="16" max="261" width="9.140625" style="3"/>
    <col min="262" max="262" width="2.42578125" style="3" customWidth="1"/>
    <col min="263" max="263" width="10" style="3" customWidth="1"/>
    <col min="264" max="264" width="44.85546875" style="3" customWidth="1"/>
    <col min="265" max="265" width="5.140625" style="3" customWidth="1"/>
    <col min="266" max="266" width="13.7109375" style="3" bestFit="1" customWidth="1"/>
    <col min="267" max="269" width="12.7109375" style="3" bestFit="1" customWidth="1"/>
    <col min="270" max="270" width="13.7109375" style="3" bestFit="1" customWidth="1"/>
    <col min="271" max="271" width="5.5703125" style="3" bestFit="1" customWidth="1"/>
    <col min="272" max="517" width="9.140625" style="3"/>
    <col min="518" max="518" width="2.42578125" style="3" customWidth="1"/>
    <col min="519" max="519" width="10" style="3" customWidth="1"/>
    <col min="520" max="520" width="44.85546875" style="3" customWidth="1"/>
    <col min="521" max="521" width="5.140625" style="3" customWidth="1"/>
    <col min="522" max="522" width="13.7109375" style="3" bestFit="1" customWidth="1"/>
    <col min="523" max="525" width="12.7109375" style="3" bestFit="1" customWidth="1"/>
    <col min="526" max="526" width="13.7109375" style="3" bestFit="1" customWidth="1"/>
    <col min="527" max="527" width="5.5703125" style="3" bestFit="1" customWidth="1"/>
    <col min="528" max="773" width="9.140625" style="3"/>
    <col min="774" max="774" width="2.42578125" style="3" customWidth="1"/>
    <col min="775" max="775" width="10" style="3" customWidth="1"/>
    <col min="776" max="776" width="44.85546875" style="3" customWidth="1"/>
    <col min="777" max="777" width="5.140625" style="3" customWidth="1"/>
    <col min="778" max="778" width="13.7109375" style="3" bestFit="1" customWidth="1"/>
    <col min="779" max="781" width="12.7109375" style="3" bestFit="1" customWidth="1"/>
    <col min="782" max="782" width="13.7109375" style="3" bestFit="1" customWidth="1"/>
    <col min="783" max="783" width="5.5703125" style="3" bestFit="1" customWidth="1"/>
    <col min="784" max="1029" width="9.140625" style="3"/>
    <col min="1030" max="1030" width="2.42578125" style="3" customWidth="1"/>
    <col min="1031" max="1031" width="10" style="3" customWidth="1"/>
    <col min="1032" max="1032" width="44.85546875" style="3" customWidth="1"/>
    <col min="1033" max="1033" width="5.140625" style="3" customWidth="1"/>
    <col min="1034" max="1034" width="13.7109375" style="3" bestFit="1" customWidth="1"/>
    <col min="1035" max="1037" width="12.7109375" style="3" bestFit="1" customWidth="1"/>
    <col min="1038" max="1038" width="13.7109375" style="3" bestFit="1" customWidth="1"/>
    <col min="1039" max="1039" width="5.5703125" style="3" bestFit="1" customWidth="1"/>
    <col min="1040" max="1285" width="9.140625" style="3"/>
    <col min="1286" max="1286" width="2.42578125" style="3" customWidth="1"/>
    <col min="1287" max="1287" width="10" style="3" customWidth="1"/>
    <col min="1288" max="1288" width="44.85546875" style="3" customWidth="1"/>
    <col min="1289" max="1289" width="5.140625" style="3" customWidth="1"/>
    <col min="1290" max="1290" width="13.7109375" style="3" bestFit="1" customWidth="1"/>
    <col min="1291" max="1293" width="12.7109375" style="3" bestFit="1" customWidth="1"/>
    <col min="1294" max="1294" width="13.7109375" style="3" bestFit="1" customWidth="1"/>
    <col min="1295" max="1295" width="5.5703125" style="3" bestFit="1" customWidth="1"/>
    <col min="1296" max="1541" width="9.140625" style="3"/>
    <col min="1542" max="1542" width="2.42578125" style="3" customWidth="1"/>
    <col min="1543" max="1543" width="10" style="3" customWidth="1"/>
    <col min="1544" max="1544" width="44.85546875" style="3" customWidth="1"/>
    <col min="1545" max="1545" width="5.140625" style="3" customWidth="1"/>
    <col min="1546" max="1546" width="13.7109375" style="3" bestFit="1" customWidth="1"/>
    <col min="1547" max="1549" width="12.7109375" style="3" bestFit="1" customWidth="1"/>
    <col min="1550" max="1550" width="13.7109375" style="3" bestFit="1" customWidth="1"/>
    <col min="1551" max="1551" width="5.5703125" style="3" bestFit="1" customWidth="1"/>
    <col min="1552" max="1797" width="9.140625" style="3"/>
    <col min="1798" max="1798" width="2.42578125" style="3" customWidth="1"/>
    <col min="1799" max="1799" width="10" style="3" customWidth="1"/>
    <col min="1800" max="1800" width="44.85546875" style="3" customWidth="1"/>
    <col min="1801" max="1801" width="5.140625" style="3" customWidth="1"/>
    <col min="1802" max="1802" width="13.7109375" style="3" bestFit="1" customWidth="1"/>
    <col min="1803" max="1805" width="12.7109375" style="3" bestFit="1" customWidth="1"/>
    <col min="1806" max="1806" width="13.7109375" style="3" bestFit="1" customWidth="1"/>
    <col min="1807" max="1807" width="5.5703125" style="3" bestFit="1" customWidth="1"/>
    <col min="1808" max="2053" width="9.140625" style="3"/>
    <col min="2054" max="2054" width="2.42578125" style="3" customWidth="1"/>
    <col min="2055" max="2055" width="10" style="3" customWidth="1"/>
    <col min="2056" max="2056" width="44.85546875" style="3" customWidth="1"/>
    <col min="2057" max="2057" width="5.140625" style="3" customWidth="1"/>
    <col min="2058" max="2058" width="13.7109375" style="3" bestFit="1" customWidth="1"/>
    <col min="2059" max="2061" width="12.7109375" style="3" bestFit="1" customWidth="1"/>
    <col min="2062" max="2062" width="13.7109375" style="3" bestFit="1" customWidth="1"/>
    <col min="2063" max="2063" width="5.5703125" style="3" bestFit="1" customWidth="1"/>
    <col min="2064" max="2309" width="9.140625" style="3"/>
    <col min="2310" max="2310" width="2.42578125" style="3" customWidth="1"/>
    <col min="2311" max="2311" width="10" style="3" customWidth="1"/>
    <col min="2312" max="2312" width="44.85546875" style="3" customWidth="1"/>
    <col min="2313" max="2313" width="5.140625" style="3" customWidth="1"/>
    <col min="2314" max="2314" width="13.7109375" style="3" bestFit="1" customWidth="1"/>
    <col min="2315" max="2317" width="12.7109375" style="3" bestFit="1" customWidth="1"/>
    <col min="2318" max="2318" width="13.7109375" style="3" bestFit="1" customWidth="1"/>
    <col min="2319" max="2319" width="5.5703125" style="3" bestFit="1" customWidth="1"/>
    <col min="2320" max="2565" width="9.140625" style="3"/>
    <col min="2566" max="2566" width="2.42578125" style="3" customWidth="1"/>
    <col min="2567" max="2567" width="10" style="3" customWidth="1"/>
    <col min="2568" max="2568" width="44.85546875" style="3" customWidth="1"/>
    <col min="2569" max="2569" width="5.140625" style="3" customWidth="1"/>
    <col min="2570" max="2570" width="13.7109375" style="3" bestFit="1" customWidth="1"/>
    <col min="2571" max="2573" width="12.7109375" style="3" bestFit="1" customWidth="1"/>
    <col min="2574" max="2574" width="13.7109375" style="3" bestFit="1" customWidth="1"/>
    <col min="2575" max="2575" width="5.5703125" style="3" bestFit="1" customWidth="1"/>
    <col min="2576" max="2821" width="9.140625" style="3"/>
    <col min="2822" max="2822" width="2.42578125" style="3" customWidth="1"/>
    <col min="2823" max="2823" width="10" style="3" customWidth="1"/>
    <col min="2824" max="2824" width="44.85546875" style="3" customWidth="1"/>
    <col min="2825" max="2825" width="5.140625" style="3" customWidth="1"/>
    <col min="2826" max="2826" width="13.7109375" style="3" bestFit="1" customWidth="1"/>
    <col min="2827" max="2829" width="12.7109375" style="3" bestFit="1" customWidth="1"/>
    <col min="2830" max="2830" width="13.7109375" style="3" bestFit="1" customWidth="1"/>
    <col min="2831" max="2831" width="5.5703125" style="3" bestFit="1" customWidth="1"/>
    <col min="2832" max="3077" width="9.140625" style="3"/>
    <col min="3078" max="3078" width="2.42578125" style="3" customWidth="1"/>
    <col min="3079" max="3079" width="10" style="3" customWidth="1"/>
    <col min="3080" max="3080" width="44.85546875" style="3" customWidth="1"/>
    <col min="3081" max="3081" width="5.140625" style="3" customWidth="1"/>
    <col min="3082" max="3082" width="13.7109375" style="3" bestFit="1" customWidth="1"/>
    <col min="3083" max="3085" width="12.7109375" style="3" bestFit="1" customWidth="1"/>
    <col min="3086" max="3086" width="13.7109375" style="3" bestFit="1" customWidth="1"/>
    <col min="3087" max="3087" width="5.5703125" style="3" bestFit="1" customWidth="1"/>
    <col min="3088" max="3333" width="9.140625" style="3"/>
    <col min="3334" max="3334" width="2.42578125" style="3" customWidth="1"/>
    <col min="3335" max="3335" width="10" style="3" customWidth="1"/>
    <col min="3336" max="3336" width="44.85546875" style="3" customWidth="1"/>
    <col min="3337" max="3337" width="5.140625" style="3" customWidth="1"/>
    <col min="3338" max="3338" width="13.7109375" style="3" bestFit="1" customWidth="1"/>
    <col min="3339" max="3341" width="12.7109375" style="3" bestFit="1" customWidth="1"/>
    <col min="3342" max="3342" width="13.7109375" style="3" bestFit="1" customWidth="1"/>
    <col min="3343" max="3343" width="5.5703125" style="3" bestFit="1" customWidth="1"/>
    <col min="3344" max="3589" width="9.140625" style="3"/>
    <col min="3590" max="3590" width="2.42578125" style="3" customWidth="1"/>
    <col min="3591" max="3591" width="10" style="3" customWidth="1"/>
    <col min="3592" max="3592" width="44.85546875" style="3" customWidth="1"/>
    <col min="3593" max="3593" width="5.140625" style="3" customWidth="1"/>
    <col min="3594" max="3594" width="13.7109375" style="3" bestFit="1" customWidth="1"/>
    <col min="3595" max="3597" width="12.7109375" style="3" bestFit="1" customWidth="1"/>
    <col min="3598" max="3598" width="13.7109375" style="3" bestFit="1" customWidth="1"/>
    <col min="3599" max="3599" width="5.5703125" style="3" bestFit="1" customWidth="1"/>
    <col min="3600" max="3845" width="9.140625" style="3"/>
    <col min="3846" max="3846" width="2.42578125" style="3" customWidth="1"/>
    <col min="3847" max="3847" width="10" style="3" customWidth="1"/>
    <col min="3848" max="3848" width="44.85546875" style="3" customWidth="1"/>
    <col min="3849" max="3849" width="5.140625" style="3" customWidth="1"/>
    <col min="3850" max="3850" width="13.7109375" style="3" bestFit="1" customWidth="1"/>
    <col min="3851" max="3853" width="12.7109375" style="3" bestFit="1" customWidth="1"/>
    <col min="3854" max="3854" width="13.7109375" style="3" bestFit="1" customWidth="1"/>
    <col min="3855" max="3855" width="5.5703125" style="3" bestFit="1" customWidth="1"/>
    <col min="3856" max="4101" width="9.140625" style="3"/>
    <col min="4102" max="4102" width="2.42578125" style="3" customWidth="1"/>
    <col min="4103" max="4103" width="10" style="3" customWidth="1"/>
    <col min="4104" max="4104" width="44.85546875" style="3" customWidth="1"/>
    <col min="4105" max="4105" width="5.140625" style="3" customWidth="1"/>
    <col min="4106" max="4106" width="13.7109375" style="3" bestFit="1" customWidth="1"/>
    <col min="4107" max="4109" width="12.7109375" style="3" bestFit="1" customWidth="1"/>
    <col min="4110" max="4110" width="13.7109375" style="3" bestFit="1" customWidth="1"/>
    <col min="4111" max="4111" width="5.5703125" style="3" bestFit="1" customWidth="1"/>
    <col min="4112" max="4357" width="9.140625" style="3"/>
    <col min="4358" max="4358" width="2.42578125" style="3" customWidth="1"/>
    <col min="4359" max="4359" width="10" style="3" customWidth="1"/>
    <col min="4360" max="4360" width="44.85546875" style="3" customWidth="1"/>
    <col min="4361" max="4361" width="5.140625" style="3" customWidth="1"/>
    <col min="4362" max="4362" width="13.7109375" style="3" bestFit="1" customWidth="1"/>
    <col min="4363" max="4365" width="12.7109375" style="3" bestFit="1" customWidth="1"/>
    <col min="4366" max="4366" width="13.7109375" style="3" bestFit="1" customWidth="1"/>
    <col min="4367" max="4367" width="5.5703125" style="3" bestFit="1" customWidth="1"/>
    <col min="4368" max="4613" width="9.140625" style="3"/>
    <col min="4614" max="4614" width="2.42578125" style="3" customWidth="1"/>
    <col min="4615" max="4615" width="10" style="3" customWidth="1"/>
    <col min="4616" max="4616" width="44.85546875" style="3" customWidth="1"/>
    <col min="4617" max="4617" width="5.140625" style="3" customWidth="1"/>
    <col min="4618" max="4618" width="13.7109375" style="3" bestFit="1" customWidth="1"/>
    <col min="4619" max="4621" width="12.7109375" style="3" bestFit="1" customWidth="1"/>
    <col min="4622" max="4622" width="13.7109375" style="3" bestFit="1" customWidth="1"/>
    <col min="4623" max="4623" width="5.5703125" style="3" bestFit="1" customWidth="1"/>
    <col min="4624" max="4869" width="9.140625" style="3"/>
    <col min="4870" max="4870" width="2.42578125" style="3" customWidth="1"/>
    <col min="4871" max="4871" width="10" style="3" customWidth="1"/>
    <col min="4872" max="4872" width="44.85546875" style="3" customWidth="1"/>
    <col min="4873" max="4873" width="5.140625" style="3" customWidth="1"/>
    <col min="4874" max="4874" width="13.7109375" style="3" bestFit="1" customWidth="1"/>
    <col min="4875" max="4877" width="12.7109375" style="3" bestFit="1" customWidth="1"/>
    <col min="4878" max="4878" width="13.7109375" style="3" bestFit="1" customWidth="1"/>
    <col min="4879" max="4879" width="5.5703125" style="3" bestFit="1" customWidth="1"/>
    <col min="4880" max="5125" width="9.140625" style="3"/>
    <col min="5126" max="5126" width="2.42578125" style="3" customWidth="1"/>
    <col min="5127" max="5127" width="10" style="3" customWidth="1"/>
    <col min="5128" max="5128" width="44.85546875" style="3" customWidth="1"/>
    <col min="5129" max="5129" width="5.140625" style="3" customWidth="1"/>
    <col min="5130" max="5130" width="13.7109375" style="3" bestFit="1" customWidth="1"/>
    <col min="5131" max="5133" width="12.7109375" style="3" bestFit="1" customWidth="1"/>
    <col min="5134" max="5134" width="13.7109375" style="3" bestFit="1" customWidth="1"/>
    <col min="5135" max="5135" width="5.5703125" style="3" bestFit="1" customWidth="1"/>
    <col min="5136" max="5381" width="9.140625" style="3"/>
    <col min="5382" max="5382" width="2.42578125" style="3" customWidth="1"/>
    <col min="5383" max="5383" width="10" style="3" customWidth="1"/>
    <col min="5384" max="5384" width="44.85546875" style="3" customWidth="1"/>
    <col min="5385" max="5385" width="5.140625" style="3" customWidth="1"/>
    <col min="5386" max="5386" width="13.7109375" style="3" bestFit="1" customWidth="1"/>
    <col min="5387" max="5389" width="12.7109375" style="3" bestFit="1" customWidth="1"/>
    <col min="5390" max="5390" width="13.7109375" style="3" bestFit="1" customWidth="1"/>
    <col min="5391" max="5391" width="5.5703125" style="3" bestFit="1" customWidth="1"/>
    <col min="5392" max="5637" width="9.140625" style="3"/>
    <col min="5638" max="5638" width="2.42578125" style="3" customWidth="1"/>
    <col min="5639" max="5639" width="10" style="3" customWidth="1"/>
    <col min="5640" max="5640" width="44.85546875" style="3" customWidth="1"/>
    <col min="5641" max="5641" width="5.140625" style="3" customWidth="1"/>
    <col min="5642" max="5642" width="13.7109375" style="3" bestFit="1" customWidth="1"/>
    <col min="5643" max="5645" width="12.7109375" style="3" bestFit="1" customWidth="1"/>
    <col min="5646" max="5646" width="13.7109375" style="3" bestFit="1" customWidth="1"/>
    <col min="5647" max="5647" width="5.5703125" style="3" bestFit="1" customWidth="1"/>
    <col min="5648" max="5893" width="9.140625" style="3"/>
    <col min="5894" max="5894" width="2.42578125" style="3" customWidth="1"/>
    <col min="5895" max="5895" width="10" style="3" customWidth="1"/>
    <col min="5896" max="5896" width="44.85546875" style="3" customWidth="1"/>
    <col min="5897" max="5897" width="5.140625" style="3" customWidth="1"/>
    <col min="5898" max="5898" width="13.7109375" style="3" bestFit="1" customWidth="1"/>
    <col min="5899" max="5901" width="12.7109375" style="3" bestFit="1" customWidth="1"/>
    <col min="5902" max="5902" width="13.7109375" style="3" bestFit="1" customWidth="1"/>
    <col min="5903" max="5903" width="5.5703125" style="3" bestFit="1" customWidth="1"/>
    <col min="5904" max="6149" width="9.140625" style="3"/>
    <col min="6150" max="6150" width="2.42578125" style="3" customWidth="1"/>
    <col min="6151" max="6151" width="10" style="3" customWidth="1"/>
    <col min="6152" max="6152" width="44.85546875" style="3" customWidth="1"/>
    <col min="6153" max="6153" width="5.140625" style="3" customWidth="1"/>
    <col min="6154" max="6154" width="13.7109375" style="3" bestFit="1" customWidth="1"/>
    <col min="6155" max="6157" width="12.7109375" style="3" bestFit="1" customWidth="1"/>
    <col min="6158" max="6158" width="13.7109375" style="3" bestFit="1" customWidth="1"/>
    <col min="6159" max="6159" width="5.5703125" style="3" bestFit="1" customWidth="1"/>
    <col min="6160" max="6405" width="9.140625" style="3"/>
    <col min="6406" max="6406" width="2.42578125" style="3" customWidth="1"/>
    <col min="6407" max="6407" width="10" style="3" customWidth="1"/>
    <col min="6408" max="6408" width="44.85546875" style="3" customWidth="1"/>
    <col min="6409" max="6409" width="5.140625" style="3" customWidth="1"/>
    <col min="6410" max="6410" width="13.7109375" style="3" bestFit="1" customWidth="1"/>
    <col min="6411" max="6413" width="12.7109375" style="3" bestFit="1" customWidth="1"/>
    <col min="6414" max="6414" width="13.7109375" style="3" bestFit="1" customWidth="1"/>
    <col min="6415" max="6415" width="5.5703125" style="3" bestFit="1" customWidth="1"/>
    <col min="6416" max="6661" width="9.140625" style="3"/>
    <col min="6662" max="6662" width="2.42578125" style="3" customWidth="1"/>
    <col min="6663" max="6663" width="10" style="3" customWidth="1"/>
    <col min="6664" max="6664" width="44.85546875" style="3" customWidth="1"/>
    <col min="6665" max="6665" width="5.140625" style="3" customWidth="1"/>
    <col min="6666" max="6666" width="13.7109375" style="3" bestFit="1" customWidth="1"/>
    <col min="6667" max="6669" width="12.7109375" style="3" bestFit="1" customWidth="1"/>
    <col min="6670" max="6670" width="13.7109375" style="3" bestFit="1" customWidth="1"/>
    <col min="6671" max="6671" width="5.5703125" style="3" bestFit="1" customWidth="1"/>
    <col min="6672" max="6917" width="9.140625" style="3"/>
    <col min="6918" max="6918" width="2.42578125" style="3" customWidth="1"/>
    <col min="6919" max="6919" width="10" style="3" customWidth="1"/>
    <col min="6920" max="6920" width="44.85546875" style="3" customWidth="1"/>
    <col min="6921" max="6921" width="5.140625" style="3" customWidth="1"/>
    <col min="6922" max="6922" width="13.7109375" style="3" bestFit="1" customWidth="1"/>
    <col min="6923" max="6925" width="12.7109375" style="3" bestFit="1" customWidth="1"/>
    <col min="6926" max="6926" width="13.7109375" style="3" bestFit="1" customWidth="1"/>
    <col min="6927" max="6927" width="5.5703125" style="3" bestFit="1" customWidth="1"/>
    <col min="6928" max="7173" width="9.140625" style="3"/>
    <col min="7174" max="7174" width="2.42578125" style="3" customWidth="1"/>
    <col min="7175" max="7175" width="10" style="3" customWidth="1"/>
    <col min="7176" max="7176" width="44.85546875" style="3" customWidth="1"/>
    <col min="7177" max="7177" width="5.140625" style="3" customWidth="1"/>
    <col min="7178" max="7178" width="13.7109375" style="3" bestFit="1" customWidth="1"/>
    <col min="7179" max="7181" width="12.7109375" style="3" bestFit="1" customWidth="1"/>
    <col min="7182" max="7182" width="13.7109375" style="3" bestFit="1" customWidth="1"/>
    <col min="7183" max="7183" width="5.5703125" style="3" bestFit="1" customWidth="1"/>
    <col min="7184" max="7429" width="9.140625" style="3"/>
    <col min="7430" max="7430" width="2.42578125" style="3" customWidth="1"/>
    <col min="7431" max="7431" width="10" style="3" customWidth="1"/>
    <col min="7432" max="7432" width="44.85546875" style="3" customWidth="1"/>
    <col min="7433" max="7433" width="5.140625" style="3" customWidth="1"/>
    <col min="7434" max="7434" width="13.7109375" style="3" bestFit="1" customWidth="1"/>
    <col min="7435" max="7437" width="12.7109375" style="3" bestFit="1" customWidth="1"/>
    <col min="7438" max="7438" width="13.7109375" style="3" bestFit="1" customWidth="1"/>
    <col min="7439" max="7439" width="5.5703125" style="3" bestFit="1" customWidth="1"/>
    <col min="7440" max="7685" width="9.140625" style="3"/>
    <col min="7686" max="7686" width="2.42578125" style="3" customWidth="1"/>
    <col min="7687" max="7687" width="10" style="3" customWidth="1"/>
    <col min="7688" max="7688" width="44.85546875" style="3" customWidth="1"/>
    <col min="7689" max="7689" width="5.140625" style="3" customWidth="1"/>
    <col min="7690" max="7690" width="13.7109375" style="3" bestFit="1" customWidth="1"/>
    <col min="7691" max="7693" width="12.7109375" style="3" bestFit="1" customWidth="1"/>
    <col min="7694" max="7694" width="13.7109375" style="3" bestFit="1" customWidth="1"/>
    <col min="7695" max="7695" width="5.5703125" style="3" bestFit="1" customWidth="1"/>
    <col min="7696" max="7941" width="9.140625" style="3"/>
    <col min="7942" max="7942" width="2.42578125" style="3" customWidth="1"/>
    <col min="7943" max="7943" width="10" style="3" customWidth="1"/>
    <col min="7944" max="7944" width="44.85546875" style="3" customWidth="1"/>
    <col min="7945" max="7945" width="5.140625" style="3" customWidth="1"/>
    <col min="7946" max="7946" width="13.7109375" style="3" bestFit="1" customWidth="1"/>
    <col min="7947" max="7949" width="12.7109375" style="3" bestFit="1" customWidth="1"/>
    <col min="7950" max="7950" width="13.7109375" style="3" bestFit="1" customWidth="1"/>
    <col min="7951" max="7951" width="5.5703125" style="3" bestFit="1" customWidth="1"/>
    <col min="7952" max="8197" width="9.140625" style="3"/>
    <col min="8198" max="8198" width="2.42578125" style="3" customWidth="1"/>
    <col min="8199" max="8199" width="10" style="3" customWidth="1"/>
    <col min="8200" max="8200" width="44.85546875" style="3" customWidth="1"/>
    <col min="8201" max="8201" width="5.140625" style="3" customWidth="1"/>
    <col min="8202" max="8202" width="13.7109375" style="3" bestFit="1" customWidth="1"/>
    <col min="8203" max="8205" width="12.7109375" style="3" bestFit="1" customWidth="1"/>
    <col min="8206" max="8206" width="13.7109375" style="3" bestFit="1" customWidth="1"/>
    <col min="8207" max="8207" width="5.5703125" style="3" bestFit="1" customWidth="1"/>
    <col min="8208" max="8453" width="9.140625" style="3"/>
    <col min="8454" max="8454" width="2.42578125" style="3" customWidth="1"/>
    <col min="8455" max="8455" width="10" style="3" customWidth="1"/>
    <col min="8456" max="8456" width="44.85546875" style="3" customWidth="1"/>
    <col min="8457" max="8457" width="5.140625" style="3" customWidth="1"/>
    <col min="8458" max="8458" width="13.7109375" style="3" bestFit="1" customWidth="1"/>
    <col min="8459" max="8461" width="12.7109375" style="3" bestFit="1" customWidth="1"/>
    <col min="8462" max="8462" width="13.7109375" style="3" bestFit="1" customWidth="1"/>
    <col min="8463" max="8463" width="5.5703125" style="3" bestFit="1" customWidth="1"/>
    <col min="8464" max="8709" width="9.140625" style="3"/>
    <col min="8710" max="8710" width="2.42578125" style="3" customWidth="1"/>
    <col min="8711" max="8711" width="10" style="3" customWidth="1"/>
    <col min="8712" max="8712" width="44.85546875" style="3" customWidth="1"/>
    <col min="8713" max="8713" width="5.140625" style="3" customWidth="1"/>
    <col min="8714" max="8714" width="13.7109375" style="3" bestFit="1" customWidth="1"/>
    <col min="8715" max="8717" width="12.7109375" style="3" bestFit="1" customWidth="1"/>
    <col min="8718" max="8718" width="13.7109375" style="3" bestFit="1" customWidth="1"/>
    <col min="8719" max="8719" width="5.5703125" style="3" bestFit="1" customWidth="1"/>
    <col min="8720" max="8965" width="9.140625" style="3"/>
    <col min="8966" max="8966" width="2.42578125" style="3" customWidth="1"/>
    <col min="8967" max="8967" width="10" style="3" customWidth="1"/>
    <col min="8968" max="8968" width="44.85546875" style="3" customWidth="1"/>
    <col min="8969" max="8969" width="5.140625" style="3" customWidth="1"/>
    <col min="8970" max="8970" width="13.7109375" style="3" bestFit="1" customWidth="1"/>
    <col min="8971" max="8973" width="12.7109375" style="3" bestFit="1" customWidth="1"/>
    <col min="8974" max="8974" width="13.7109375" style="3" bestFit="1" customWidth="1"/>
    <col min="8975" max="8975" width="5.5703125" style="3" bestFit="1" customWidth="1"/>
    <col min="8976" max="9221" width="9.140625" style="3"/>
    <col min="9222" max="9222" width="2.42578125" style="3" customWidth="1"/>
    <col min="9223" max="9223" width="10" style="3" customWidth="1"/>
    <col min="9224" max="9224" width="44.85546875" style="3" customWidth="1"/>
    <col min="9225" max="9225" width="5.140625" style="3" customWidth="1"/>
    <col min="9226" max="9226" width="13.7109375" style="3" bestFit="1" customWidth="1"/>
    <col min="9227" max="9229" width="12.7109375" style="3" bestFit="1" customWidth="1"/>
    <col min="9230" max="9230" width="13.7109375" style="3" bestFit="1" customWidth="1"/>
    <col min="9231" max="9231" width="5.5703125" style="3" bestFit="1" customWidth="1"/>
    <col min="9232" max="9477" width="9.140625" style="3"/>
    <col min="9478" max="9478" width="2.42578125" style="3" customWidth="1"/>
    <col min="9479" max="9479" width="10" style="3" customWidth="1"/>
    <col min="9480" max="9480" width="44.85546875" style="3" customWidth="1"/>
    <col min="9481" max="9481" width="5.140625" style="3" customWidth="1"/>
    <col min="9482" max="9482" width="13.7109375" style="3" bestFit="1" customWidth="1"/>
    <col min="9483" max="9485" width="12.7109375" style="3" bestFit="1" customWidth="1"/>
    <col min="9486" max="9486" width="13.7109375" style="3" bestFit="1" customWidth="1"/>
    <col min="9487" max="9487" width="5.5703125" style="3" bestFit="1" customWidth="1"/>
    <col min="9488" max="9733" width="9.140625" style="3"/>
    <col min="9734" max="9734" width="2.42578125" style="3" customWidth="1"/>
    <col min="9735" max="9735" width="10" style="3" customWidth="1"/>
    <col min="9736" max="9736" width="44.85546875" style="3" customWidth="1"/>
    <col min="9737" max="9737" width="5.140625" style="3" customWidth="1"/>
    <col min="9738" max="9738" width="13.7109375" style="3" bestFit="1" customWidth="1"/>
    <col min="9739" max="9741" width="12.7109375" style="3" bestFit="1" customWidth="1"/>
    <col min="9742" max="9742" width="13.7109375" style="3" bestFit="1" customWidth="1"/>
    <col min="9743" max="9743" width="5.5703125" style="3" bestFit="1" customWidth="1"/>
    <col min="9744" max="9989" width="9.140625" style="3"/>
    <col min="9990" max="9990" width="2.42578125" style="3" customWidth="1"/>
    <col min="9991" max="9991" width="10" style="3" customWidth="1"/>
    <col min="9992" max="9992" width="44.85546875" style="3" customWidth="1"/>
    <col min="9993" max="9993" width="5.140625" style="3" customWidth="1"/>
    <col min="9994" max="9994" width="13.7109375" style="3" bestFit="1" customWidth="1"/>
    <col min="9995" max="9997" width="12.7109375" style="3" bestFit="1" customWidth="1"/>
    <col min="9998" max="9998" width="13.7109375" style="3" bestFit="1" customWidth="1"/>
    <col min="9999" max="9999" width="5.5703125" style="3" bestFit="1" customWidth="1"/>
    <col min="10000" max="10245" width="9.140625" style="3"/>
    <col min="10246" max="10246" width="2.42578125" style="3" customWidth="1"/>
    <col min="10247" max="10247" width="10" style="3" customWidth="1"/>
    <col min="10248" max="10248" width="44.85546875" style="3" customWidth="1"/>
    <col min="10249" max="10249" width="5.140625" style="3" customWidth="1"/>
    <col min="10250" max="10250" width="13.7109375" style="3" bestFit="1" customWidth="1"/>
    <col min="10251" max="10253" width="12.7109375" style="3" bestFit="1" customWidth="1"/>
    <col min="10254" max="10254" width="13.7109375" style="3" bestFit="1" customWidth="1"/>
    <col min="10255" max="10255" width="5.5703125" style="3" bestFit="1" customWidth="1"/>
    <col min="10256" max="10501" width="9.140625" style="3"/>
    <col min="10502" max="10502" width="2.42578125" style="3" customWidth="1"/>
    <col min="10503" max="10503" width="10" style="3" customWidth="1"/>
    <col min="10504" max="10504" width="44.85546875" style="3" customWidth="1"/>
    <col min="10505" max="10505" width="5.140625" style="3" customWidth="1"/>
    <col min="10506" max="10506" width="13.7109375" style="3" bestFit="1" customWidth="1"/>
    <col min="10507" max="10509" width="12.7109375" style="3" bestFit="1" customWidth="1"/>
    <col min="10510" max="10510" width="13.7109375" style="3" bestFit="1" customWidth="1"/>
    <col min="10511" max="10511" width="5.5703125" style="3" bestFit="1" customWidth="1"/>
    <col min="10512" max="10757" width="9.140625" style="3"/>
    <col min="10758" max="10758" width="2.42578125" style="3" customWidth="1"/>
    <col min="10759" max="10759" width="10" style="3" customWidth="1"/>
    <col min="10760" max="10760" width="44.85546875" style="3" customWidth="1"/>
    <col min="10761" max="10761" width="5.140625" style="3" customWidth="1"/>
    <col min="10762" max="10762" width="13.7109375" style="3" bestFit="1" customWidth="1"/>
    <col min="10763" max="10765" width="12.7109375" style="3" bestFit="1" customWidth="1"/>
    <col min="10766" max="10766" width="13.7109375" style="3" bestFit="1" customWidth="1"/>
    <col min="10767" max="10767" width="5.5703125" style="3" bestFit="1" customWidth="1"/>
    <col min="10768" max="11013" width="9.140625" style="3"/>
    <col min="11014" max="11014" width="2.42578125" style="3" customWidth="1"/>
    <col min="11015" max="11015" width="10" style="3" customWidth="1"/>
    <col min="11016" max="11016" width="44.85546875" style="3" customWidth="1"/>
    <col min="11017" max="11017" width="5.140625" style="3" customWidth="1"/>
    <col min="11018" max="11018" width="13.7109375" style="3" bestFit="1" customWidth="1"/>
    <col min="11019" max="11021" width="12.7109375" style="3" bestFit="1" customWidth="1"/>
    <col min="11022" max="11022" width="13.7109375" style="3" bestFit="1" customWidth="1"/>
    <col min="11023" max="11023" width="5.5703125" style="3" bestFit="1" customWidth="1"/>
    <col min="11024" max="11269" width="9.140625" style="3"/>
    <col min="11270" max="11270" width="2.42578125" style="3" customWidth="1"/>
    <col min="11271" max="11271" width="10" style="3" customWidth="1"/>
    <col min="11272" max="11272" width="44.85546875" style="3" customWidth="1"/>
    <col min="11273" max="11273" width="5.140625" style="3" customWidth="1"/>
    <col min="11274" max="11274" width="13.7109375" style="3" bestFit="1" customWidth="1"/>
    <col min="11275" max="11277" width="12.7109375" style="3" bestFit="1" customWidth="1"/>
    <col min="11278" max="11278" width="13.7109375" style="3" bestFit="1" customWidth="1"/>
    <col min="11279" max="11279" width="5.5703125" style="3" bestFit="1" customWidth="1"/>
    <col min="11280" max="11525" width="9.140625" style="3"/>
    <col min="11526" max="11526" width="2.42578125" style="3" customWidth="1"/>
    <col min="11527" max="11527" width="10" style="3" customWidth="1"/>
    <col min="11528" max="11528" width="44.85546875" style="3" customWidth="1"/>
    <col min="11529" max="11529" width="5.140625" style="3" customWidth="1"/>
    <col min="11530" max="11530" width="13.7109375" style="3" bestFit="1" customWidth="1"/>
    <col min="11531" max="11533" width="12.7109375" style="3" bestFit="1" customWidth="1"/>
    <col min="11534" max="11534" width="13.7109375" style="3" bestFit="1" customWidth="1"/>
    <col min="11535" max="11535" width="5.5703125" style="3" bestFit="1" customWidth="1"/>
    <col min="11536" max="11781" width="9.140625" style="3"/>
    <col min="11782" max="11782" width="2.42578125" style="3" customWidth="1"/>
    <col min="11783" max="11783" width="10" style="3" customWidth="1"/>
    <col min="11784" max="11784" width="44.85546875" style="3" customWidth="1"/>
    <col min="11785" max="11785" width="5.140625" style="3" customWidth="1"/>
    <col min="11786" max="11786" width="13.7109375" style="3" bestFit="1" customWidth="1"/>
    <col min="11787" max="11789" width="12.7109375" style="3" bestFit="1" customWidth="1"/>
    <col min="11790" max="11790" width="13.7109375" style="3" bestFit="1" customWidth="1"/>
    <col min="11791" max="11791" width="5.5703125" style="3" bestFit="1" customWidth="1"/>
    <col min="11792" max="12037" width="9.140625" style="3"/>
    <col min="12038" max="12038" width="2.42578125" style="3" customWidth="1"/>
    <col min="12039" max="12039" width="10" style="3" customWidth="1"/>
    <col min="12040" max="12040" width="44.85546875" style="3" customWidth="1"/>
    <col min="12041" max="12041" width="5.140625" style="3" customWidth="1"/>
    <col min="12042" max="12042" width="13.7109375" style="3" bestFit="1" customWidth="1"/>
    <col min="12043" max="12045" width="12.7109375" style="3" bestFit="1" customWidth="1"/>
    <col min="12046" max="12046" width="13.7109375" style="3" bestFit="1" customWidth="1"/>
    <col min="12047" max="12047" width="5.5703125" style="3" bestFit="1" customWidth="1"/>
    <col min="12048" max="12293" width="9.140625" style="3"/>
    <col min="12294" max="12294" width="2.42578125" style="3" customWidth="1"/>
    <col min="12295" max="12295" width="10" style="3" customWidth="1"/>
    <col min="12296" max="12296" width="44.85546875" style="3" customWidth="1"/>
    <col min="12297" max="12297" width="5.140625" style="3" customWidth="1"/>
    <col min="12298" max="12298" width="13.7109375" style="3" bestFit="1" customWidth="1"/>
    <col min="12299" max="12301" width="12.7109375" style="3" bestFit="1" customWidth="1"/>
    <col min="12302" max="12302" width="13.7109375" style="3" bestFit="1" customWidth="1"/>
    <col min="12303" max="12303" width="5.5703125" style="3" bestFit="1" customWidth="1"/>
    <col min="12304" max="12549" width="9.140625" style="3"/>
    <col min="12550" max="12550" width="2.42578125" style="3" customWidth="1"/>
    <col min="12551" max="12551" width="10" style="3" customWidth="1"/>
    <col min="12552" max="12552" width="44.85546875" style="3" customWidth="1"/>
    <col min="12553" max="12553" width="5.140625" style="3" customWidth="1"/>
    <col min="12554" max="12554" width="13.7109375" style="3" bestFit="1" customWidth="1"/>
    <col min="12555" max="12557" width="12.7109375" style="3" bestFit="1" customWidth="1"/>
    <col min="12558" max="12558" width="13.7109375" style="3" bestFit="1" customWidth="1"/>
    <col min="12559" max="12559" width="5.5703125" style="3" bestFit="1" customWidth="1"/>
    <col min="12560" max="12805" width="9.140625" style="3"/>
    <col min="12806" max="12806" width="2.42578125" style="3" customWidth="1"/>
    <col min="12807" max="12807" width="10" style="3" customWidth="1"/>
    <col min="12808" max="12808" width="44.85546875" style="3" customWidth="1"/>
    <col min="12809" max="12809" width="5.140625" style="3" customWidth="1"/>
    <col min="12810" max="12810" width="13.7109375" style="3" bestFit="1" customWidth="1"/>
    <col min="12811" max="12813" width="12.7109375" style="3" bestFit="1" customWidth="1"/>
    <col min="12814" max="12814" width="13.7109375" style="3" bestFit="1" customWidth="1"/>
    <col min="12815" max="12815" width="5.5703125" style="3" bestFit="1" customWidth="1"/>
    <col min="12816" max="13061" width="9.140625" style="3"/>
    <col min="13062" max="13062" width="2.42578125" style="3" customWidth="1"/>
    <col min="13063" max="13063" width="10" style="3" customWidth="1"/>
    <col min="13064" max="13064" width="44.85546875" style="3" customWidth="1"/>
    <col min="13065" max="13065" width="5.140625" style="3" customWidth="1"/>
    <col min="13066" max="13066" width="13.7109375" style="3" bestFit="1" customWidth="1"/>
    <col min="13067" max="13069" width="12.7109375" style="3" bestFit="1" customWidth="1"/>
    <col min="13070" max="13070" width="13.7109375" style="3" bestFit="1" customWidth="1"/>
    <col min="13071" max="13071" width="5.5703125" style="3" bestFit="1" customWidth="1"/>
    <col min="13072" max="13317" width="9.140625" style="3"/>
    <col min="13318" max="13318" width="2.42578125" style="3" customWidth="1"/>
    <col min="13319" max="13319" width="10" style="3" customWidth="1"/>
    <col min="13320" max="13320" width="44.85546875" style="3" customWidth="1"/>
    <col min="13321" max="13321" width="5.140625" style="3" customWidth="1"/>
    <col min="13322" max="13322" width="13.7109375" style="3" bestFit="1" customWidth="1"/>
    <col min="13323" max="13325" width="12.7109375" style="3" bestFit="1" customWidth="1"/>
    <col min="13326" max="13326" width="13.7109375" style="3" bestFit="1" customWidth="1"/>
    <col min="13327" max="13327" width="5.5703125" style="3" bestFit="1" customWidth="1"/>
    <col min="13328" max="13573" width="9.140625" style="3"/>
    <col min="13574" max="13574" width="2.42578125" style="3" customWidth="1"/>
    <col min="13575" max="13575" width="10" style="3" customWidth="1"/>
    <col min="13576" max="13576" width="44.85546875" style="3" customWidth="1"/>
    <col min="13577" max="13577" width="5.140625" style="3" customWidth="1"/>
    <col min="13578" max="13578" width="13.7109375" style="3" bestFit="1" customWidth="1"/>
    <col min="13579" max="13581" width="12.7109375" style="3" bestFit="1" customWidth="1"/>
    <col min="13582" max="13582" width="13.7109375" style="3" bestFit="1" customWidth="1"/>
    <col min="13583" max="13583" width="5.5703125" style="3" bestFit="1" customWidth="1"/>
    <col min="13584" max="13829" width="9.140625" style="3"/>
    <col min="13830" max="13830" width="2.42578125" style="3" customWidth="1"/>
    <col min="13831" max="13831" width="10" style="3" customWidth="1"/>
    <col min="13832" max="13832" width="44.85546875" style="3" customWidth="1"/>
    <col min="13833" max="13833" width="5.140625" style="3" customWidth="1"/>
    <col min="13834" max="13834" width="13.7109375" style="3" bestFit="1" customWidth="1"/>
    <col min="13835" max="13837" width="12.7109375" style="3" bestFit="1" customWidth="1"/>
    <col min="13838" max="13838" width="13.7109375" style="3" bestFit="1" customWidth="1"/>
    <col min="13839" max="13839" width="5.5703125" style="3" bestFit="1" customWidth="1"/>
    <col min="13840" max="14085" width="9.140625" style="3"/>
    <col min="14086" max="14086" width="2.42578125" style="3" customWidth="1"/>
    <col min="14087" max="14087" width="10" style="3" customWidth="1"/>
    <col min="14088" max="14088" width="44.85546875" style="3" customWidth="1"/>
    <col min="14089" max="14089" width="5.140625" style="3" customWidth="1"/>
    <col min="14090" max="14090" width="13.7109375" style="3" bestFit="1" customWidth="1"/>
    <col min="14091" max="14093" width="12.7109375" style="3" bestFit="1" customWidth="1"/>
    <col min="14094" max="14094" width="13.7109375" style="3" bestFit="1" customWidth="1"/>
    <col min="14095" max="14095" width="5.5703125" style="3" bestFit="1" customWidth="1"/>
    <col min="14096" max="14341" width="9.140625" style="3"/>
    <col min="14342" max="14342" width="2.42578125" style="3" customWidth="1"/>
    <col min="14343" max="14343" width="10" style="3" customWidth="1"/>
    <col min="14344" max="14344" width="44.85546875" style="3" customWidth="1"/>
    <col min="14345" max="14345" width="5.140625" style="3" customWidth="1"/>
    <col min="14346" max="14346" width="13.7109375" style="3" bestFit="1" customWidth="1"/>
    <col min="14347" max="14349" width="12.7109375" style="3" bestFit="1" customWidth="1"/>
    <col min="14350" max="14350" width="13.7109375" style="3" bestFit="1" customWidth="1"/>
    <col min="14351" max="14351" width="5.5703125" style="3" bestFit="1" customWidth="1"/>
    <col min="14352" max="14597" width="9.140625" style="3"/>
    <col min="14598" max="14598" width="2.42578125" style="3" customWidth="1"/>
    <col min="14599" max="14599" width="10" style="3" customWidth="1"/>
    <col min="14600" max="14600" width="44.85546875" style="3" customWidth="1"/>
    <col min="14601" max="14601" width="5.140625" style="3" customWidth="1"/>
    <col min="14602" max="14602" width="13.7109375" style="3" bestFit="1" customWidth="1"/>
    <col min="14603" max="14605" width="12.7109375" style="3" bestFit="1" customWidth="1"/>
    <col min="14606" max="14606" width="13.7109375" style="3" bestFit="1" customWidth="1"/>
    <col min="14607" max="14607" width="5.5703125" style="3" bestFit="1" customWidth="1"/>
    <col min="14608" max="14853" width="9.140625" style="3"/>
    <col min="14854" max="14854" width="2.42578125" style="3" customWidth="1"/>
    <col min="14855" max="14855" width="10" style="3" customWidth="1"/>
    <col min="14856" max="14856" width="44.85546875" style="3" customWidth="1"/>
    <col min="14857" max="14857" width="5.140625" style="3" customWidth="1"/>
    <col min="14858" max="14858" width="13.7109375" style="3" bestFit="1" customWidth="1"/>
    <col min="14859" max="14861" width="12.7109375" style="3" bestFit="1" customWidth="1"/>
    <col min="14862" max="14862" width="13.7109375" style="3" bestFit="1" customWidth="1"/>
    <col min="14863" max="14863" width="5.5703125" style="3" bestFit="1" customWidth="1"/>
    <col min="14864" max="15109" width="9.140625" style="3"/>
    <col min="15110" max="15110" width="2.42578125" style="3" customWidth="1"/>
    <col min="15111" max="15111" width="10" style="3" customWidth="1"/>
    <col min="15112" max="15112" width="44.85546875" style="3" customWidth="1"/>
    <col min="15113" max="15113" width="5.140625" style="3" customWidth="1"/>
    <col min="15114" max="15114" width="13.7109375" style="3" bestFit="1" customWidth="1"/>
    <col min="15115" max="15117" width="12.7109375" style="3" bestFit="1" customWidth="1"/>
    <col min="15118" max="15118" width="13.7109375" style="3" bestFit="1" customWidth="1"/>
    <col min="15119" max="15119" width="5.5703125" style="3" bestFit="1" customWidth="1"/>
    <col min="15120" max="15365" width="9.140625" style="3"/>
    <col min="15366" max="15366" width="2.42578125" style="3" customWidth="1"/>
    <col min="15367" max="15367" width="10" style="3" customWidth="1"/>
    <col min="15368" max="15368" width="44.85546875" style="3" customWidth="1"/>
    <col min="15369" max="15369" width="5.140625" style="3" customWidth="1"/>
    <col min="15370" max="15370" width="13.7109375" style="3" bestFit="1" customWidth="1"/>
    <col min="15371" max="15373" width="12.7109375" style="3" bestFit="1" customWidth="1"/>
    <col min="15374" max="15374" width="13.7109375" style="3" bestFit="1" customWidth="1"/>
    <col min="15375" max="15375" width="5.5703125" style="3" bestFit="1" customWidth="1"/>
    <col min="15376" max="15621" width="9.140625" style="3"/>
    <col min="15622" max="15622" width="2.42578125" style="3" customWidth="1"/>
    <col min="15623" max="15623" width="10" style="3" customWidth="1"/>
    <col min="15624" max="15624" width="44.85546875" style="3" customWidth="1"/>
    <col min="15625" max="15625" width="5.140625" style="3" customWidth="1"/>
    <col min="15626" max="15626" width="13.7109375" style="3" bestFit="1" customWidth="1"/>
    <col min="15627" max="15629" width="12.7109375" style="3" bestFit="1" customWidth="1"/>
    <col min="15630" max="15630" width="13.7109375" style="3" bestFit="1" customWidth="1"/>
    <col min="15631" max="15631" width="5.5703125" style="3" bestFit="1" customWidth="1"/>
    <col min="15632" max="15877" width="9.140625" style="3"/>
    <col min="15878" max="15878" width="2.42578125" style="3" customWidth="1"/>
    <col min="15879" max="15879" width="10" style="3" customWidth="1"/>
    <col min="15880" max="15880" width="44.85546875" style="3" customWidth="1"/>
    <col min="15881" max="15881" width="5.140625" style="3" customWidth="1"/>
    <col min="15882" max="15882" width="13.7109375" style="3" bestFit="1" customWidth="1"/>
    <col min="15883" max="15885" width="12.7109375" style="3" bestFit="1" customWidth="1"/>
    <col min="15886" max="15886" width="13.7109375" style="3" bestFit="1" customWidth="1"/>
    <col min="15887" max="15887" width="5.5703125" style="3" bestFit="1" customWidth="1"/>
    <col min="15888" max="16133" width="9.140625" style="3"/>
    <col min="16134" max="16134" width="2.42578125" style="3" customWidth="1"/>
    <col min="16135" max="16135" width="10" style="3" customWidth="1"/>
    <col min="16136" max="16136" width="44.85546875" style="3" customWidth="1"/>
    <col min="16137" max="16137" width="5.140625" style="3" customWidth="1"/>
    <col min="16138" max="16138" width="13.7109375" style="3" bestFit="1" customWidth="1"/>
    <col min="16139" max="16141" width="12.7109375" style="3" bestFit="1" customWidth="1"/>
    <col min="16142" max="16142" width="13.7109375" style="3" bestFit="1" customWidth="1"/>
    <col min="16143" max="16143" width="5.5703125" style="3" bestFit="1" customWidth="1"/>
    <col min="16144" max="16384" width="9.140625" style="3"/>
  </cols>
  <sheetData>
    <row r="2" spans="1:15">
      <c r="A2" s="112" t="s">
        <v>118</v>
      </c>
    </row>
    <row r="3" spans="1:15" s="24" customFormat="1">
      <c r="A3" s="436" t="s">
        <v>119</v>
      </c>
      <c r="B3" s="436" t="s">
        <v>120</v>
      </c>
    </row>
    <row r="4" spans="1:15">
      <c r="A4" s="437" t="s">
        <v>121</v>
      </c>
      <c r="B4" s="437" t="s">
        <v>121</v>
      </c>
    </row>
    <row r="5" spans="1:15">
      <c r="A5" s="438">
        <v>0.19989999999999999</v>
      </c>
      <c r="B5" s="438">
        <v>0.11840000000000001</v>
      </c>
    </row>
    <row r="6" spans="1:15">
      <c r="A6" s="437" t="s">
        <v>122</v>
      </c>
      <c r="B6" s="92" t="s">
        <v>123</v>
      </c>
    </row>
    <row r="7" spans="1:15">
      <c r="A7" s="438">
        <v>0.33</v>
      </c>
    </row>
    <row r="9" spans="1:15">
      <c r="A9" s="25"/>
      <c r="B9" s="25"/>
      <c r="C9" s="25"/>
      <c r="D9" s="25"/>
      <c r="E9" s="25"/>
      <c r="F9" s="33" t="s">
        <v>11</v>
      </c>
      <c r="G9" s="439">
        <v>2021</v>
      </c>
      <c r="H9" s="439">
        <v>2021</v>
      </c>
      <c r="I9" s="439">
        <v>2022</v>
      </c>
      <c r="J9" s="439">
        <v>2023</v>
      </c>
      <c r="K9" s="439">
        <v>2024</v>
      </c>
      <c r="L9" s="439">
        <v>2025</v>
      </c>
      <c r="M9" s="439"/>
      <c r="N9" s="439"/>
    </row>
    <row r="10" spans="1:15">
      <c r="F10" s="359" t="s">
        <v>745</v>
      </c>
      <c r="G10" s="440">
        <v>0.33</v>
      </c>
      <c r="H10" s="440">
        <v>0.33500000000000002</v>
      </c>
      <c r="I10" s="441">
        <v>0.4</v>
      </c>
      <c r="J10" s="438">
        <v>0.5</v>
      </c>
      <c r="K10" s="438">
        <v>0.74</v>
      </c>
      <c r="L10" s="441">
        <v>0.72</v>
      </c>
      <c r="M10" s="441"/>
      <c r="N10" s="441"/>
    </row>
    <row r="11" spans="1:15">
      <c r="F11" s="359" t="s">
        <v>744</v>
      </c>
    </row>
    <row r="12" spans="1:15">
      <c r="D12" s="416"/>
    </row>
    <row r="13" spans="1:15">
      <c r="D13" s="416"/>
    </row>
    <row r="14" spans="1:15">
      <c r="A14" s="25"/>
      <c r="B14" s="442" t="s">
        <v>516</v>
      </c>
      <c r="C14" s="443"/>
      <c r="D14" s="444" t="s">
        <v>124</v>
      </c>
      <c r="E14" s="444" t="s">
        <v>125</v>
      </c>
      <c r="F14" s="444" t="s">
        <v>126</v>
      </c>
      <c r="G14" s="444" t="s">
        <v>127</v>
      </c>
      <c r="H14" s="444" t="s">
        <v>292</v>
      </c>
      <c r="I14" s="444" t="s">
        <v>293</v>
      </c>
      <c r="J14" s="444" t="s">
        <v>294</v>
      </c>
      <c r="K14" s="444" t="s">
        <v>295</v>
      </c>
      <c r="L14" s="444" t="s">
        <v>296</v>
      </c>
      <c r="M14" s="444" t="s">
        <v>298</v>
      </c>
      <c r="N14" s="445" t="s">
        <v>10</v>
      </c>
    </row>
    <row r="15" spans="1:15">
      <c r="B15" s="436" t="s">
        <v>739</v>
      </c>
      <c r="C15" s="437"/>
      <c r="D15" s="416"/>
      <c r="E15" s="416"/>
      <c r="F15" s="416"/>
      <c r="G15" s="416"/>
      <c r="H15" s="416"/>
      <c r="I15" s="416"/>
      <c r="J15" s="416"/>
      <c r="K15" s="416"/>
      <c r="L15" s="416"/>
      <c r="M15" s="416"/>
      <c r="N15" s="446"/>
    </row>
    <row r="16" spans="1:15">
      <c r="A16" s="59" t="s">
        <v>128</v>
      </c>
      <c r="B16" s="3" t="s">
        <v>738</v>
      </c>
      <c r="C16" s="437">
        <v>311</v>
      </c>
      <c r="D16" s="416">
        <v>646851.22</v>
      </c>
      <c r="E16" s="416">
        <v>1584309.78</v>
      </c>
      <c r="F16" s="416">
        <v>1110585.6299999999</v>
      </c>
      <c r="G16" s="416">
        <v>1101862.0900000001</v>
      </c>
      <c r="H16" s="416">
        <f>1041204.38</f>
        <v>1041204.38</v>
      </c>
      <c r="I16" s="416">
        <v>1041463.47</v>
      </c>
      <c r="J16" s="416">
        <v>1038282.04</v>
      </c>
      <c r="K16" s="416">
        <v>1036421.89</v>
      </c>
      <c r="L16" s="416">
        <v>1047813.28</v>
      </c>
      <c r="M16" s="416">
        <v>1031939.72</v>
      </c>
      <c r="N16" s="447">
        <f>SUM(D16:M16)</f>
        <v>10680733.5</v>
      </c>
      <c r="O16" s="416">
        <f>10680733.5-N16</f>
        <v>0</v>
      </c>
    </row>
    <row r="17" spans="1:15">
      <c r="A17" s="59" t="s">
        <v>129</v>
      </c>
      <c r="B17" s="3" t="s">
        <v>740</v>
      </c>
      <c r="C17" s="437">
        <v>320</v>
      </c>
      <c r="D17" s="416">
        <v>40013.54</v>
      </c>
      <c r="E17" s="416">
        <v>25467.31</v>
      </c>
      <c r="F17" s="416">
        <f>43738.35</f>
        <v>43738.35</v>
      </c>
      <c r="G17" s="416">
        <v>147124.29</v>
      </c>
      <c r="H17" s="416">
        <f>167667.79</f>
        <v>167667.79</v>
      </c>
      <c r="I17" s="416">
        <v>197063.87</v>
      </c>
      <c r="J17" s="416">
        <v>79480.33</v>
      </c>
      <c r="K17" s="416">
        <v>114330.75</v>
      </c>
      <c r="L17" s="416">
        <v>39881.89</v>
      </c>
      <c r="M17" s="416">
        <v>76483.03</v>
      </c>
      <c r="N17" s="447">
        <f t="shared" ref="N17:N19" si="0">SUM(D17:M17)</f>
        <v>931251.15</v>
      </c>
      <c r="O17" s="416">
        <f>931251.15-N17</f>
        <v>0</v>
      </c>
    </row>
    <row r="18" spans="1:15">
      <c r="B18" s="436" t="s">
        <v>741</v>
      </c>
      <c r="C18" s="437"/>
      <c r="D18" s="416">
        <v>1821306.69</v>
      </c>
      <c r="E18" s="416">
        <v>3418373.35</v>
      </c>
      <c r="F18" s="416">
        <v>2477691.9500000002</v>
      </c>
      <c r="G18" s="416">
        <v>2713144.41</v>
      </c>
      <c r="H18" s="416">
        <f>2527081.2</f>
        <v>2527081.2000000002</v>
      </c>
      <c r="I18" s="416">
        <v>2358458.2000000002</v>
      </c>
      <c r="J18" s="416">
        <v>2342207.5</v>
      </c>
      <c r="K18" s="416">
        <f>2308046.36</f>
        <v>2308046.36</v>
      </c>
      <c r="L18" s="416">
        <v>2466047.48</v>
      </c>
      <c r="M18" s="416">
        <v>2370360.38</v>
      </c>
      <c r="N18" s="447">
        <f t="shared" si="0"/>
        <v>24802717.52</v>
      </c>
      <c r="O18" s="357">
        <f>24802717.52-N18</f>
        <v>0</v>
      </c>
    </row>
    <row r="19" spans="1:15">
      <c r="A19" s="25"/>
      <c r="B19" s="25" t="s">
        <v>742</v>
      </c>
      <c r="C19" s="448"/>
      <c r="D19" s="449">
        <v>1774960.27</v>
      </c>
      <c r="E19" s="450">
        <v>1892028.52</v>
      </c>
      <c r="F19" s="450">
        <v>1916270.79</v>
      </c>
      <c r="G19" s="450">
        <v>1847527.88</v>
      </c>
      <c r="H19" s="450">
        <v>1862823.19</v>
      </c>
      <c r="I19" s="450">
        <f>1860508.85</f>
        <v>1860508.85</v>
      </c>
      <c r="J19" s="450">
        <v>1888869.79</v>
      </c>
      <c r="K19" s="450">
        <v>1864374.65</v>
      </c>
      <c r="L19" s="450">
        <f>1864704.24</f>
        <v>1864704.24</v>
      </c>
      <c r="M19" s="450">
        <v>1868149.11</v>
      </c>
      <c r="N19" s="453">
        <f t="shared" si="0"/>
        <v>18640217.289999999</v>
      </c>
      <c r="O19" s="357">
        <f>18640217.29-N19</f>
        <v>0</v>
      </c>
    </row>
    <row r="20" spans="1:15">
      <c r="B20" s="3" t="s">
        <v>743</v>
      </c>
      <c r="C20" s="437" t="s">
        <v>130</v>
      </c>
      <c r="D20" s="451">
        <f t="shared" ref="D20:K20" si="1">D18-D19</f>
        <v>46346.419999999925</v>
      </c>
      <c r="E20" s="451">
        <f t="shared" si="1"/>
        <v>1526344.83</v>
      </c>
      <c r="F20" s="451">
        <f t="shared" si="1"/>
        <v>561421.16000000015</v>
      </c>
      <c r="G20" s="451">
        <f>G18-G19</f>
        <v>865616.53000000026</v>
      </c>
      <c r="H20" s="451">
        <f t="shared" si="1"/>
        <v>664258.01000000024</v>
      </c>
      <c r="I20" s="451">
        <f t="shared" si="1"/>
        <v>497949.35000000009</v>
      </c>
      <c r="J20" s="451">
        <f t="shared" si="1"/>
        <v>453337.70999999996</v>
      </c>
      <c r="K20" s="451">
        <f t="shared" si="1"/>
        <v>443671.70999999996</v>
      </c>
      <c r="L20" s="451">
        <f>L18-L19</f>
        <v>601343.24</v>
      </c>
      <c r="M20" s="451">
        <f>M18-M19</f>
        <v>502211.26999999979</v>
      </c>
      <c r="N20" s="447">
        <f>SUM(D20:M20)</f>
        <v>6162500.2300000004</v>
      </c>
      <c r="O20" s="357"/>
    </row>
    <row r="21" spans="1:15">
      <c r="C21" s="437"/>
      <c r="D21" s="416"/>
      <c r="N21" s="29"/>
    </row>
    <row r="22" spans="1:15">
      <c r="A22" s="25"/>
      <c r="B22" s="452" t="s">
        <v>131</v>
      </c>
      <c r="C22" s="448" t="s">
        <v>132</v>
      </c>
      <c r="D22" s="449">
        <f t="shared" ref="D22:J22" si="2">SUM(D16:D17)-D20</f>
        <v>640518.34000000008</v>
      </c>
      <c r="E22" s="449">
        <f t="shared" si="2"/>
        <v>83432.260000000009</v>
      </c>
      <c r="F22" s="449">
        <f t="shared" si="2"/>
        <v>592902.81999999983</v>
      </c>
      <c r="G22" s="449">
        <f t="shared" si="2"/>
        <v>383369.84999999986</v>
      </c>
      <c r="H22" s="449">
        <f t="shared" si="2"/>
        <v>544614.15999999968</v>
      </c>
      <c r="I22" s="449">
        <f t="shared" si="2"/>
        <v>740577.98999999976</v>
      </c>
      <c r="J22" s="449">
        <f t="shared" si="2"/>
        <v>664424.66000000015</v>
      </c>
      <c r="K22" s="449">
        <f>SUM(K16:K17)-K20</f>
        <v>707080.93000000017</v>
      </c>
      <c r="L22" s="449">
        <f>SUM(L16:L17)-L20</f>
        <v>486351.92999999993</v>
      </c>
      <c r="M22" s="449">
        <f>SUM(M16:M17)-M20</f>
        <v>606211.48000000021</v>
      </c>
      <c r="N22" s="453">
        <f>SUM(D22:L22)</f>
        <v>4843272.9399999995</v>
      </c>
    </row>
    <row r="23" spans="1:15">
      <c r="B23" s="3" t="s">
        <v>517</v>
      </c>
      <c r="D23" s="416"/>
      <c r="E23" s="357">
        <f>D22+E22</f>
        <v>723950.60000000009</v>
      </c>
      <c r="F23" s="357">
        <f t="shared" ref="F23:J23" si="3">E23+F22</f>
        <v>1316853.42</v>
      </c>
      <c r="G23" s="357">
        <f t="shared" si="3"/>
        <v>1700223.2699999998</v>
      </c>
      <c r="H23" s="357">
        <f t="shared" si="3"/>
        <v>2244837.4299999997</v>
      </c>
      <c r="I23" s="357">
        <f t="shared" si="3"/>
        <v>2985415.4199999995</v>
      </c>
      <c r="J23" s="357">
        <f t="shared" si="3"/>
        <v>3649840.0799999996</v>
      </c>
      <c r="K23" s="357">
        <f>J23+K22</f>
        <v>4356921.01</v>
      </c>
      <c r="L23" s="357">
        <f>K23+L22</f>
        <v>4843272.9399999995</v>
      </c>
      <c r="M23" s="357">
        <f>L23+M22</f>
        <v>5449484.4199999999</v>
      </c>
      <c r="N23" s="29"/>
    </row>
    <row r="24" spans="1:15">
      <c r="D24" s="416"/>
      <c r="N24" s="29"/>
    </row>
    <row r="25" spans="1:15">
      <c r="B25" s="359" t="s">
        <v>133</v>
      </c>
      <c r="C25" s="454"/>
      <c r="D25" s="416">
        <f>21390.5-13008.99</f>
        <v>8381.51</v>
      </c>
      <c r="E25" s="455">
        <v>7644.48</v>
      </c>
      <c r="F25" s="455">
        <f>70335.98-81867.41</f>
        <v>-11531.430000000008</v>
      </c>
      <c r="G25" s="455">
        <v>236970.22</v>
      </c>
      <c r="H25" s="455">
        <f>196118.17-25818.29</f>
        <v>170299.88</v>
      </c>
      <c r="I25" s="455">
        <f>48213.11-50509.62</f>
        <v>-2296.510000000002</v>
      </c>
      <c r="J25" s="455">
        <f>73898.94-87402.27</f>
        <v>-13503.330000000002</v>
      </c>
      <c r="K25" s="455">
        <f>93050.89-139895.26</f>
        <v>-46844.37000000001</v>
      </c>
      <c r="L25" s="455">
        <f>207190.52-117856.34</f>
        <v>89334.18</v>
      </c>
      <c r="M25" s="455">
        <f>356724.71-334520.02</f>
        <v>22204.690000000002</v>
      </c>
      <c r="N25" s="446">
        <f>SUM(D25:M25)</f>
        <v>460659.32</v>
      </c>
      <c r="O25" s="357"/>
    </row>
    <row r="26" spans="1:15">
      <c r="D26" s="416"/>
      <c r="N26" s="29"/>
    </row>
    <row r="27" spans="1:15">
      <c r="D27" s="416"/>
      <c r="N27" s="29"/>
    </row>
    <row r="28" spans="1:15">
      <c r="A28" s="25"/>
      <c r="B28" s="452" t="s">
        <v>134</v>
      </c>
      <c r="C28" s="25"/>
      <c r="D28" s="461">
        <v>33033586.629999999</v>
      </c>
      <c r="E28" s="450">
        <v>32875956.559999999</v>
      </c>
      <c r="F28" s="450">
        <v>34457888.159999996</v>
      </c>
      <c r="G28" s="450">
        <v>35776936.130000003</v>
      </c>
      <c r="H28" s="450">
        <v>35898682.270000003</v>
      </c>
      <c r="I28" s="450">
        <f>35480656.82</f>
        <v>35480656.82</v>
      </c>
      <c r="J28" s="450">
        <f>35920808.42</f>
        <v>35920808.420000002</v>
      </c>
      <c r="K28" s="450">
        <v>36369533.189999998</v>
      </c>
      <c r="L28" s="450">
        <f>36874615.14</f>
        <v>36874615.140000001</v>
      </c>
      <c r="M28" s="450">
        <v>37473087.700000003</v>
      </c>
      <c r="N28" s="456" t="s">
        <v>10</v>
      </c>
    </row>
    <row r="29" spans="1:15">
      <c r="D29" s="416"/>
      <c r="E29" s="357">
        <f t="shared" ref="E29:K29" si="4">E28-D28</f>
        <v>-157630.0700000003</v>
      </c>
      <c r="F29" s="357">
        <f t="shared" si="4"/>
        <v>1581931.5999999978</v>
      </c>
      <c r="G29" s="357">
        <f t="shared" si="4"/>
        <v>1319047.9700000063</v>
      </c>
      <c r="H29" s="357">
        <f t="shared" si="4"/>
        <v>121746.1400000006</v>
      </c>
      <c r="I29" s="357">
        <f t="shared" si="4"/>
        <v>-418025.45000000298</v>
      </c>
      <c r="J29" s="357">
        <f t="shared" si="4"/>
        <v>440151.60000000149</v>
      </c>
      <c r="K29" s="357">
        <f t="shared" si="4"/>
        <v>448724.76999999583</v>
      </c>
      <c r="L29" s="357">
        <f>L28-K28</f>
        <v>505081.95000000298</v>
      </c>
      <c r="M29" s="357">
        <f>M28-L28</f>
        <v>598472.56000000238</v>
      </c>
      <c r="N29" s="457">
        <f>SUM(E29:M29)</f>
        <v>4439501.070000004</v>
      </c>
      <c r="O29" s="357">
        <f>M28-D28-N29</f>
        <v>0</v>
      </c>
    </row>
    <row r="30" spans="1:15">
      <c r="D30" s="416"/>
      <c r="N30" s="29"/>
    </row>
    <row r="31" spans="1:15">
      <c r="A31" s="25"/>
      <c r="B31" s="25"/>
      <c r="C31" s="452" t="s">
        <v>135</v>
      </c>
      <c r="D31" s="458">
        <f t="shared" ref="D31:L31" si="5">D25/D28</f>
        <v>2.5372691418219155E-4</v>
      </c>
      <c r="E31" s="458">
        <f t="shared" si="5"/>
        <v>2.3252494527569115E-4</v>
      </c>
      <c r="F31" s="458">
        <f t="shared" si="5"/>
        <v>-3.3465283613596847E-4</v>
      </c>
      <c r="G31" s="458">
        <f t="shared" si="5"/>
        <v>6.6235470566551272E-3</v>
      </c>
      <c r="H31" s="458">
        <f t="shared" si="5"/>
        <v>4.7439033755931788E-3</v>
      </c>
      <c r="I31" s="458">
        <f t="shared" si="5"/>
        <v>-6.4725690159870105E-5</v>
      </c>
      <c r="J31" s="458">
        <f t="shared" si="5"/>
        <v>-3.7591943483325426E-4</v>
      </c>
      <c r="K31" s="458">
        <f t="shared" si="5"/>
        <v>-1.288011307576533E-3</v>
      </c>
      <c r="L31" s="458">
        <f t="shared" si="5"/>
        <v>2.4226471153889848E-3</v>
      </c>
      <c r="M31" s="458">
        <f>M25/M28</f>
        <v>5.9255031711731619E-4</v>
      </c>
      <c r="N31" s="459">
        <f>SUM(D31:M31)</f>
        <v>1.2805590455506864E-2</v>
      </c>
    </row>
    <row r="32" spans="1:15">
      <c r="D32" s="416"/>
    </row>
    <row r="33" spans="2:13">
      <c r="D33" s="416"/>
    </row>
    <row r="34" spans="2:13">
      <c r="D34" s="416"/>
      <c r="K34" s="394"/>
      <c r="L34" s="394"/>
      <c r="M34" s="394"/>
    </row>
    <row r="35" spans="2:13">
      <c r="B35" s="361" t="s">
        <v>103</v>
      </c>
      <c r="E35" s="361" t="s">
        <v>104</v>
      </c>
      <c r="H35" s="460" t="s">
        <v>105</v>
      </c>
      <c r="K35" s="357"/>
      <c r="L35" s="357"/>
      <c r="M35" s="357"/>
    </row>
    <row r="36" spans="2:13">
      <c r="B36" s="361" t="s">
        <v>106</v>
      </c>
      <c r="E36" s="361" t="s">
        <v>107</v>
      </c>
      <c r="H36" s="364" t="s">
        <v>108</v>
      </c>
    </row>
    <row r="37" spans="2:13">
      <c r="D37" s="416"/>
    </row>
    <row r="38" spans="2:13">
      <c r="D38" s="416"/>
    </row>
    <row r="39" spans="2:13">
      <c r="D39" s="416"/>
    </row>
    <row r="40" spans="2:13">
      <c r="D40" s="416"/>
    </row>
    <row r="41" spans="2:13">
      <c r="D41" s="416"/>
    </row>
    <row r="42" spans="2:13">
      <c r="D42" s="416"/>
    </row>
    <row r="43" spans="2:13">
      <c r="D43" s="416"/>
    </row>
    <row r="44" spans="2:13">
      <c r="D44" s="416"/>
    </row>
    <row r="45" spans="2:13">
      <c r="D45" s="416"/>
    </row>
    <row r="46" spans="2:13">
      <c r="D46" s="416"/>
    </row>
    <row r="47" spans="2:13">
      <c r="D47" s="416"/>
    </row>
    <row r="48" spans="2:13">
      <c r="D48" s="416"/>
    </row>
    <row r="49" spans="4:4">
      <c r="D49" s="416"/>
    </row>
    <row r="50" spans="4:4">
      <c r="D50" s="416"/>
    </row>
    <row r="51" spans="4:4">
      <c r="D51" s="416"/>
    </row>
    <row r="52" spans="4:4">
      <c r="D52" s="416"/>
    </row>
    <row r="53" spans="4:4">
      <c r="D53" s="416"/>
    </row>
    <row r="54" spans="4:4">
      <c r="D54" s="416"/>
    </row>
    <row r="55" spans="4:4">
      <c r="D55" s="416"/>
    </row>
    <row r="56" spans="4:4">
      <c r="D56" s="416"/>
    </row>
    <row r="57" spans="4:4">
      <c r="D57" s="416"/>
    </row>
    <row r="58" spans="4:4">
      <c r="D58" s="416"/>
    </row>
    <row r="59" spans="4:4">
      <c r="D59" s="416"/>
    </row>
    <row r="60" spans="4:4">
      <c r="D60" s="416"/>
    </row>
    <row r="61" spans="4:4">
      <c r="D61" s="416"/>
    </row>
    <row r="62" spans="4:4">
      <c r="D62" s="416"/>
    </row>
    <row r="63" spans="4:4">
      <c r="D63" s="416"/>
    </row>
    <row r="64" spans="4:4">
      <c r="D64" s="416"/>
    </row>
    <row r="65" spans="4:4">
      <c r="D65" s="416"/>
    </row>
    <row r="66" spans="4:4">
      <c r="D66" s="416"/>
    </row>
    <row r="67" spans="4:4">
      <c r="D67" s="416"/>
    </row>
    <row r="68" spans="4:4">
      <c r="D68" s="416"/>
    </row>
    <row r="69" spans="4:4">
      <c r="D69" s="416"/>
    </row>
    <row r="70" spans="4:4">
      <c r="D70" s="416"/>
    </row>
    <row r="71" spans="4:4">
      <c r="D71" s="416"/>
    </row>
    <row r="72" spans="4:4">
      <c r="D72" s="416"/>
    </row>
    <row r="73" spans="4:4">
      <c r="D73" s="416"/>
    </row>
    <row r="74" spans="4:4">
      <c r="D74" s="416"/>
    </row>
    <row r="75" spans="4:4">
      <c r="D75" s="416"/>
    </row>
    <row r="76" spans="4:4">
      <c r="D76" s="416"/>
    </row>
    <row r="77" spans="4:4">
      <c r="D77" s="416"/>
    </row>
    <row r="78" spans="4:4">
      <c r="D78" s="416"/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AH133"/>
  <sheetViews>
    <sheetView topLeftCell="C14" workbookViewId="0">
      <selection activeCell="S74" sqref="S74"/>
    </sheetView>
  </sheetViews>
  <sheetFormatPr defaultRowHeight="8.25"/>
  <cols>
    <col min="1" max="1" width="8.42578125" style="59" customWidth="1"/>
    <col min="2" max="2" width="9.42578125" style="59" customWidth="1"/>
    <col min="3" max="3" width="6.140625" style="59" customWidth="1"/>
    <col min="4" max="4" width="9.42578125" style="59" customWidth="1"/>
    <col min="5" max="5" width="8.7109375" style="59" customWidth="1"/>
    <col min="6" max="6" width="12" style="59" customWidth="1"/>
    <col min="7" max="7" width="5.28515625" style="59" customWidth="1"/>
    <col min="8" max="8" width="10" style="59" customWidth="1"/>
    <col min="9" max="9" width="5.7109375" style="59" customWidth="1"/>
    <col min="10" max="10" width="11.140625" style="59" customWidth="1"/>
    <col min="11" max="11" width="8.5703125" style="59" customWidth="1"/>
    <col min="12" max="12" width="12.5703125" style="59" customWidth="1"/>
    <col min="13" max="13" width="9.140625" style="59" customWidth="1"/>
    <col min="14" max="14" width="11.7109375" style="59" bestFit="1" customWidth="1"/>
    <col min="15" max="15" width="10.7109375" style="59" customWidth="1"/>
    <col min="16" max="16" width="4.5703125" style="59" customWidth="1"/>
    <col min="17" max="17" width="3.28515625" style="59" bestFit="1" customWidth="1"/>
    <col min="18" max="18" width="7" style="59" customWidth="1"/>
    <col min="19" max="19" width="9.5703125" style="59" customWidth="1"/>
    <col min="20" max="21" width="9.42578125" style="59" customWidth="1"/>
    <col min="22" max="22" width="9.5703125" style="59" customWidth="1"/>
    <col min="23" max="23" width="9.28515625" style="59" customWidth="1"/>
    <col min="24" max="24" width="10.28515625" style="59" customWidth="1"/>
    <col min="25" max="26" width="9.42578125" style="59" customWidth="1"/>
    <col min="27" max="27" width="8.85546875" style="59" customWidth="1"/>
    <col min="28" max="28" width="9.28515625" style="59" customWidth="1"/>
    <col min="29" max="29" width="9" style="59" customWidth="1"/>
    <col min="30" max="30" width="9.140625" style="59" customWidth="1"/>
    <col min="31" max="31" width="9.5703125" style="59" customWidth="1"/>
    <col min="32" max="32" width="5.28515625" style="59" bestFit="1" customWidth="1"/>
    <col min="33" max="33" width="9.7109375" style="59" bestFit="1" customWidth="1"/>
    <col min="34" max="34" width="11" style="59" bestFit="1" customWidth="1"/>
    <col min="35" max="35" width="10.85546875" style="59" bestFit="1" customWidth="1"/>
    <col min="36" max="36" width="9.140625" style="59"/>
    <col min="37" max="37" width="3.85546875" style="59" bestFit="1" customWidth="1"/>
    <col min="38" max="38" width="7.28515625" style="59" bestFit="1" customWidth="1"/>
    <col min="39" max="41" width="9.140625" style="59"/>
    <col min="42" max="42" width="9.28515625" style="59" customWidth="1"/>
    <col min="43" max="43" width="9.28515625" style="59" bestFit="1" customWidth="1"/>
    <col min="44" max="256" width="9.140625" style="59"/>
    <col min="257" max="257" width="7.85546875" style="59" customWidth="1"/>
    <col min="258" max="258" width="12.140625" style="59" customWidth="1"/>
    <col min="259" max="259" width="6.28515625" style="59" customWidth="1"/>
    <col min="260" max="260" width="11.5703125" style="59" customWidth="1"/>
    <col min="261" max="261" width="7.85546875" style="59" customWidth="1"/>
    <col min="262" max="262" width="12.28515625" style="59" customWidth="1"/>
    <col min="263" max="263" width="5.28515625" style="59" customWidth="1"/>
    <col min="264" max="264" width="12.140625" style="59" bestFit="1" customWidth="1"/>
    <col min="265" max="265" width="5.7109375" style="59" customWidth="1"/>
    <col min="266" max="266" width="11.85546875" style="59" bestFit="1" customWidth="1"/>
    <col min="267" max="267" width="8" style="59" customWidth="1"/>
    <col min="268" max="268" width="12.5703125" style="59" customWidth="1"/>
    <col min="269" max="269" width="9" style="59" customWidth="1"/>
    <col min="270" max="270" width="11.7109375" style="59" bestFit="1" customWidth="1"/>
    <col min="271" max="271" width="9.42578125" style="59" customWidth="1"/>
    <col min="272" max="272" width="4.140625" style="59" customWidth="1"/>
    <col min="273" max="273" width="3.28515625" style="59" bestFit="1" customWidth="1"/>
    <col min="274" max="274" width="8.85546875" style="59" customWidth="1"/>
    <col min="275" max="275" width="10" style="59" bestFit="1" customWidth="1"/>
    <col min="276" max="277" width="9.42578125" style="59" customWidth="1"/>
    <col min="278" max="278" width="9.5703125" style="59" customWidth="1"/>
    <col min="279" max="279" width="9.85546875" style="59" customWidth="1"/>
    <col min="280" max="281" width="9.42578125" style="59" customWidth="1"/>
    <col min="282" max="282" width="9.85546875" style="59" customWidth="1"/>
    <col min="283" max="284" width="9.28515625" style="59" customWidth="1"/>
    <col min="285" max="285" width="9.85546875" style="59" customWidth="1"/>
    <col min="286" max="286" width="9.28515625" style="59" customWidth="1"/>
    <col min="287" max="287" width="10.42578125" style="59" customWidth="1"/>
    <col min="288" max="288" width="5.28515625" style="59" bestFit="1" customWidth="1"/>
    <col min="289" max="289" width="9.7109375" style="59" bestFit="1" customWidth="1"/>
    <col min="290" max="290" width="11" style="59" bestFit="1" customWidth="1"/>
    <col min="291" max="291" width="10.85546875" style="59" bestFit="1" customWidth="1"/>
    <col min="292" max="292" width="9.140625" style="59"/>
    <col min="293" max="293" width="3.85546875" style="59" bestFit="1" customWidth="1"/>
    <col min="294" max="294" width="7.28515625" style="59" bestFit="1" customWidth="1"/>
    <col min="295" max="297" width="9.140625" style="59"/>
    <col min="298" max="298" width="9.28515625" style="59" customWidth="1"/>
    <col min="299" max="299" width="9.28515625" style="59" bestFit="1" customWidth="1"/>
    <col min="300" max="512" width="9.140625" style="59"/>
    <col min="513" max="513" width="7.85546875" style="59" customWidth="1"/>
    <col min="514" max="514" width="12.140625" style="59" customWidth="1"/>
    <col min="515" max="515" width="6.28515625" style="59" customWidth="1"/>
    <col min="516" max="516" width="11.5703125" style="59" customWidth="1"/>
    <col min="517" max="517" width="7.85546875" style="59" customWidth="1"/>
    <col min="518" max="518" width="12.28515625" style="59" customWidth="1"/>
    <col min="519" max="519" width="5.28515625" style="59" customWidth="1"/>
    <col min="520" max="520" width="12.140625" style="59" bestFit="1" customWidth="1"/>
    <col min="521" max="521" width="5.7109375" style="59" customWidth="1"/>
    <col min="522" max="522" width="11.85546875" style="59" bestFit="1" customWidth="1"/>
    <col min="523" max="523" width="8" style="59" customWidth="1"/>
    <col min="524" max="524" width="12.5703125" style="59" customWidth="1"/>
    <col min="525" max="525" width="9" style="59" customWidth="1"/>
    <col min="526" max="526" width="11.7109375" style="59" bestFit="1" customWidth="1"/>
    <col min="527" max="527" width="9.42578125" style="59" customWidth="1"/>
    <col min="528" max="528" width="4.140625" style="59" customWidth="1"/>
    <col min="529" max="529" width="3.28515625" style="59" bestFit="1" customWidth="1"/>
    <col min="530" max="530" width="8.85546875" style="59" customWidth="1"/>
    <col min="531" max="531" width="10" style="59" bestFit="1" customWidth="1"/>
    <col min="532" max="533" width="9.42578125" style="59" customWidth="1"/>
    <col min="534" max="534" width="9.5703125" style="59" customWidth="1"/>
    <col min="535" max="535" width="9.85546875" style="59" customWidth="1"/>
    <col min="536" max="537" width="9.42578125" style="59" customWidth="1"/>
    <col min="538" max="538" width="9.85546875" style="59" customWidth="1"/>
    <col min="539" max="540" width="9.28515625" style="59" customWidth="1"/>
    <col min="541" max="541" width="9.85546875" style="59" customWidth="1"/>
    <col min="542" max="542" width="9.28515625" style="59" customWidth="1"/>
    <col min="543" max="543" width="10.42578125" style="59" customWidth="1"/>
    <col min="544" max="544" width="5.28515625" style="59" bestFit="1" customWidth="1"/>
    <col min="545" max="545" width="9.7109375" style="59" bestFit="1" customWidth="1"/>
    <col min="546" max="546" width="11" style="59" bestFit="1" customWidth="1"/>
    <col min="547" max="547" width="10.85546875" style="59" bestFit="1" customWidth="1"/>
    <col min="548" max="548" width="9.140625" style="59"/>
    <col min="549" max="549" width="3.85546875" style="59" bestFit="1" customWidth="1"/>
    <col min="550" max="550" width="7.28515625" style="59" bestFit="1" customWidth="1"/>
    <col min="551" max="553" width="9.140625" style="59"/>
    <col min="554" max="554" width="9.28515625" style="59" customWidth="1"/>
    <col min="555" max="555" width="9.28515625" style="59" bestFit="1" customWidth="1"/>
    <col min="556" max="768" width="9.140625" style="59"/>
    <col min="769" max="769" width="7.85546875" style="59" customWidth="1"/>
    <col min="770" max="770" width="12.140625" style="59" customWidth="1"/>
    <col min="771" max="771" width="6.28515625" style="59" customWidth="1"/>
    <col min="772" max="772" width="11.5703125" style="59" customWidth="1"/>
    <col min="773" max="773" width="7.85546875" style="59" customWidth="1"/>
    <col min="774" max="774" width="12.28515625" style="59" customWidth="1"/>
    <col min="775" max="775" width="5.28515625" style="59" customWidth="1"/>
    <col min="776" max="776" width="12.140625" style="59" bestFit="1" customWidth="1"/>
    <col min="777" max="777" width="5.7109375" style="59" customWidth="1"/>
    <col min="778" max="778" width="11.85546875" style="59" bestFit="1" customWidth="1"/>
    <col min="779" max="779" width="8" style="59" customWidth="1"/>
    <col min="780" max="780" width="12.5703125" style="59" customWidth="1"/>
    <col min="781" max="781" width="9" style="59" customWidth="1"/>
    <col min="782" max="782" width="11.7109375" style="59" bestFit="1" customWidth="1"/>
    <col min="783" max="783" width="9.42578125" style="59" customWidth="1"/>
    <col min="784" max="784" width="4.140625" style="59" customWidth="1"/>
    <col min="785" max="785" width="3.28515625" style="59" bestFit="1" customWidth="1"/>
    <col min="786" max="786" width="8.85546875" style="59" customWidth="1"/>
    <col min="787" max="787" width="10" style="59" bestFit="1" customWidth="1"/>
    <col min="788" max="789" width="9.42578125" style="59" customWidth="1"/>
    <col min="790" max="790" width="9.5703125" style="59" customWidth="1"/>
    <col min="791" max="791" width="9.85546875" style="59" customWidth="1"/>
    <col min="792" max="793" width="9.42578125" style="59" customWidth="1"/>
    <col min="794" max="794" width="9.85546875" style="59" customWidth="1"/>
    <col min="795" max="796" width="9.28515625" style="59" customWidth="1"/>
    <col min="797" max="797" width="9.85546875" style="59" customWidth="1"/>
    <col min="798" max="798" width="9.28515625" style="59" customWidth="1"/>
    <col min="799" max="799" width="10.42578125" style="59" customWidth="1"/>
    <col min="800" max="800" width="5.28515625" style="59" bestFit="1" customWidth="1"/>
    <col min="801" max="801" width="9.7109375" style="59" bestFit="1" customWidth="1"/>
    <col min="802" max="802" width="11" style="59" bestFit="1" customWidth="1"/>
    <col min="803" max="803" width="10.85546875" style="59" bestFit="1" customWidth="1"/>
    <col min="804" max="804" width="9.140625" style="59"/>
    <col min="805" max="805" width="3.85546875" style="59" bestFit="1" customWidth="1"/>
    <col min="806" max="806" width="7.28515625" style="59" bestFit="1" customWidth="1"/>
    <col min="807" max="809" width="9.140625" style="59"/>
    <col min="810" max="810" width="9.28515625" style="59" customWidth="1"/>
    <col min="811" max="811" width="9.28515625" style="59" bestFit="1" customWidth="1"/>
    <col min="812" max="1024" width="9.140625" style="59"/>
    <col min="1025" max="1025" width="7.85546875" style="59" customWidth="1"/>
    <col min="1026" max="1026" width="12.140625" style="59" customWidth="1"/>
    <col min="1027" max="1027" width="6.28515625" style="59" customWidth="1"/>
    <col min="1028" max="1028" width="11.5703125" style="59" customWidth="1"/>
    <col min="1029" max="1029" width="7.85546875" style="59" customWidth="1"/>
    <col min="1030" max="1030" width="12.28515625" style="59" customWidth="1"/>
    <col min="1031" max="1031" width="5.28515625" style="59" customWidth="1"/>
    <col min="1032" max="1032" width="12.140625" style="59" bestFit="1" customWidth="1"/>
    <col min="1033" max="1033" width="5.7109375" style="59" customWidth="1"/>
    <col min="1034" max="1034" width="11.85546875" style="59" bestFit="1" customWidth="1"/>
    <col min="1035" max="1035" width="8" style="59" customWidth="1"/>
    <col min="1036" max="1036" width="12.5703125" style="59" customWidth="1"/>
    <col min="1037" max="1037" width="9" style="59" customWidth="1"/>
    <col min="1038" max="1038" width="11.7109375" style="59" bestFit="1" customWidth="1"/>
    <col min="1039" max="1039" width="9.42578125" style="59" customWidth="1"/>
    <col min="1040" max="1040" width="4.140625" style="59" customWidth="1"/>
    <col min="1041" max="1041" width="3.28515625" style="59" bestFit="1" customWidth="1"/>
    <col min="1042" max="1042" width="8.85546875" style="59" customWidth="1"/>
    <col min="1043" max="1043" width="10" style="59" bestFit="1" customWidth="1"/>
    <col min="1044" max="1045" width="9.42578125" style="59" customWidth="1"/>
    <col min="1046" max="1046" width="9.5703125" style="59" customWidth="1"/>
    <col min="1047" max="1047" width="9.85546875" style="59" customWidth="1"/>
    <col min="1048" max="1049" width="9.42578125" style="59" customWidth="1"/>
    <col min="1050" max="1050" width="9.85546875" style="59" customWidth="1"/>
    <col min="1051" max="1052" width="9.28515625" style="59" customWidth="1"/>
    <col min="1053" max="1053" width="9.85546875" style="59" customWidth="1"/>
    <col min="1054" max="1054" width="9.28515625" style="59" customWidth="1"/>
    <col min="1055" max="1055" width="10.42578125" style="59" customWidth="1"/>
    <col min="1056" max="1056" width="5.28515625" style="59" bestFit="1" customWidth="1"/>
    <col min="1057" max="1057" width="9.7109375" style="59" bestFit="1" customWidth="1"/>
    <col min="1058" max="1058" width="11" style="59" bestFit="1" customWidth="1"/>
    <col min="1059" max="1059" width="10.85546875" style="59" bestFit="1" customWidth="1"/>
    <col min="1060" max="1060" width="9.140625" style="59"/>
    <col min="1061" max="1061" width="3.85546875" style="59" bestFit="1" customWidth="1"/>
    <col min="1062" max="1062" width="7.28515625" style="59" bestFit="1" customWidth="1"/>
    <col min="1063" max="1065" width="9.140625" style="59"/>
    <col min="1066" max="1066" width="9.28515625" style="59" customWidth="1"/>
    <col min="1067" max="1067" width="9.28515625" style="59" bestFit="1" customWidth="1"/>
    <col min="1068" max="1280" width="9.140625" style="59"/>
    <col min="1281" max="1281" width="7.85546875" style="59" customWidth="1"/>
    <col min="1282" max="1282" width="12.140625" style="59" customWidth="1"/>
    <col min="1283" max="1283" width="6.28515625" style="59" customWidth="1"/>
    <col min="1284" max="1284" width="11.5703125" style="59" customWidth="1"/>
    <col min="1285" max="1285" width="7.85546875" style="59" customWidth="1"/>
    <col min="1286" max="1286" width="12.28515625" style="59" customWidth="1"/>
    <col min="1287" max="1287" width="5.28515625" style="59" customWidth="1"/>
    <col min="1288" max="1288" width="12.140625" style="59" bestFit="1" customWidth="1"/>
    <col min="1289" max="1289" width="5.7109375" style="59" customWidth="1"/>
    <col min="1290" max="1290" width="11.85546875" style="59" bestFit="1" customWidth="1"/>
    <col min="1291" max="1291" width="8" style="59" customWidth="1"/>
    <col min="1292" max="1292" width="12.5703125" style="59" customWidth="1"/>
    <col min="1293" max="1293" width="9" style="59" customWidth="1"/>
    <col min="1294" max="1294" width="11.7109375" style="59" bestFit="1" customWidth="1"/>
    <col min="1295" max="1295" width="9.42578125" style="59" customWidth="1"/>
    <col min="1296" max="1296" width="4.140625" style="59" customWidth="1"/>
    <col min="1297" max="1297" width="3.28515625" style="59" bestFit="1" customWidth="1"/>
    <col min="1298" max="1298" width="8.85546875" style="59" customWidth="1"/>
    <col min="1299" max="1299" width="10" style="59" bestFit="1" customWidth="1"/>
    <col min="1300" max="1301" width="9.42578125" style="59" customWidth="1"/>
    <col min="1302" max="1302" width="9.5703125" style="59" customWidth="1"/>
    <col min="1303" max="1303" width="9.85546875" style="59" customWidth="1"/>
    <col min="1304" max="1305" width="9.42578125" style="59" customWidth="1"/>
    <col min="1306" max="1306" width="9.85546875" style="59" customWidth="1"/>
    <col min="1307" max="1308" width="9.28515625" style="59" customWidth="1"/>
    <col min="1309" max="1309" width="9.85546875" style="59" customWidth="1"/>
    <col min="1310" max="1310" width="9.28515625" style="59" customWidth="1"/>
    <col min="1311" max="1311" width="10.42578125" style="59" customWidth="1"/>
    <col min="1312" max="1312" width="5.28515625" style="59" bestFit="1" customWidth="1"/>
    <col min="1313" max="1313" width="9.7109375" style="59" bestFit="1" customWidth="1"/>
    <col min="1314" max="1314" width="11" style="59" bestFit="1" customWidth="1"/>
    <col min="1315" max="1315" width="10.85546875" style="59" bestFit="1" customWidth="1"/>
    <col min="1316" max="1316" width="9.140625" style="59"/>
    <col min="1317" max="1317" width="3.85546875" style="59" bestFit="1" customWidth="1"/>
    <col min="1318" max="1318" width="7.28515625" style="59" bestFit="1" customWidth="1"/>
    <col min="1319" max="1321" width="9.140625" style="59"/>
    <col min="1322" max="1322" width="9.28515625" style="59" customWidth="1"/>
    <col min="1323" max="1323" width="9.28515625" style="59" bestFit="1" customWidth="1"/>
    <col min="1324" max="1536" width="9.140625" style="59"/>
    <col min="1537" max="1537" width="7.85546875" style="59" customWidth="1"/>
    <col min="1538" max="1538" width="12.140625" style="59" customWidth="1"/>
    <col min="1539" max="1539" width="6.28515625" style="59" customWidth="1"/>
    <col min="1540" max="1540" width="11.5703125" style="59" customWidth="1"/>
    <col min="1541" max="1541" width="7.85546875" style="59" customWidth="1"/>
    <col min="1542" max="1542" width="12.28515625" style="59" customWidth="1"/>
    <col min="1543" max="1543" width="5.28515625" style="59" customWidth="1"/>
    <col min="1544" max="1544" width="12.140625" style="59" bestFit="1" customWidth="1"/>
    <col min="1545" max="1545" width="5.7109375" style="59" customWidth="1"/>
    <col min="1546" max="1546" width="11.85546875" style="59" bestFit="1" customWidth="1"/>
    <col min="1547" max="1547" width="8" style="59" customWidth="1"/>
    <col min="1548" max="1548" width="12.5703125" style="59" customWidth="1"/>
    <col min="1549" max="1549" width="9" style="59" customWidth="1"/>
    <col min="1550" max="1550" width="11.7109375" style="59" bestFit="1" customWidth="1"/>
    <col min="1551" max="1551" width="9.42578125" style="59" customWidth="1"/>
    <col min="1552" max="1552" width="4.140625" style="59" customWidth="1"/>
    <col min="1553" max="1553" width="3.28515625" style="59" bestFit="1" customWidth="1"/>
    <col min="1554" max="1554" width="8.85546875" style="59" customWidth="1"/>
    <col min="1555" max="1555" width="10" style="59" bestFit="1" customWidth="1"/>
    <col min="1556" max="1557" width="9.42578125" style="59" customWidth="1"/>
    <col min="1558" max="1558" width="9.5703125" style="59" customWidth="1"/>
    <col min="1559" max="1559" width="9.85546875" style="59" customWidth="1"/>
    <col min="1560" max="1561" width="9.42578125" style="59" customWidth="1"/>
    <col min="1562" max="1562" width="9.85546875" style="59" customWidth="1"/>
    <col min="1563" max="1564" width="9.28515625" style="59" customWidth="1"/>
    <col min="1565" max="1565" width="9.85546875" style="59" customWidth="1"/>
    <col min="1566" max="1566" width="9.28515625" style="59" customWidth="1"/>
    <col min="1567" max="1567" width="10.42578125" style="59" customWidth="1"/>
    <col min="1568" max="1568" width="5.28515625" style="59" bestFit="1" customWidth="1"/>
    <col min="1569" max="1569" width="9.7109375" style="59" bestFit="1" customWidth="1"/>
    <col min="1570" max="1570" width="11" style="59" bestFit="1" customWidth="1"/>
    <col min="1571" max="1571" width="10.85546875" style="59" bestFit="1" customWidth="1"/>
    <col min="1572" max="1572" width="9.140625" style="59"/>
    <col min="1573" max="1573" width="3.85546875" style="59" bestFit="1" customWidth="1"/>
    <col min="1574" max="1574" width="7.28515625" style="59" bestFit="1" customWidth="1"/>
    <col min="1575" max="1577" width="9.140625" style="59"/>
    <col min="1578" max="1578" width="9.28515625" style="59" customWidth="1"/>
    <col min="1579" max="1579" width="9.28515625" style="59" bestFit="1" customWidth="1"/>
    <col min="1580" max="1792" width="9.140625" style="59"/>
    <col min="1793" max="1793" width="7.85546875" style="59" customWidth="1"/>
    <col min="1794" max="1794" width="12.140625" style="59" customWidth="1"/>
    <col min="1795" max="1795" width="6.28515625" style="59" customWidth="1"/>
    <col min="1796" max="1796" width="11.5703125" style="59" customWidth="1"/>
    <col min="1797" max="1797" width="7.85546875" style="59" customWidth="1"/>
    <col min="1798" max="1798" width="12.28515625" style="59" customWidth="1"/>
    <col min="1799" max="1799" width="5.28515625" style="59" customWidth="1"/>
    <col min="1800" max="1800" width="12.140625" style="59" bestFit="1" customWidth="1"/>
    <col min="1801" max="1801" width="5.7109375" style="59" customWidth="1"/>
    <col min="1802" max="1802" width="11.85546875" style="59" bestFit="1" customWidth="1"/>
    <col min="1803" max="1803" width="8" style="59" customWidth="1"/>
    <col min="1804" max="1804" width="12.5703125" style="59" customWidth="1"/>
    <col min="1805" max="1805" width="9" style="59" customWidth="1"/>
    <col min="1806" max="1806" width="11.7109375" style="59" bestFit="1" customWidth="1"/>
    <col min="1807" max="1807" width="9.42578125" style="59" customWidth="1"/>
    <col min="1808" max="1808" width="4.140625" style="59" customWidth="1"/>
    <col min="1809" max="1809" width="3.28515625" style="59" bestFit="1" customWidth="1"/>
    <col min="1810" max="1810" width="8.85546875" style="59" customWidth="1"/>
    <col min="1811" max="1811" width="10" style="59" bestFit="1" customWidth="1"/>
    <col min="1812" max="1813" width="9.42578125" style="59" customWidth="1"/>
    <col min="1814" max="1814" width="9.5703125" style="59" customWidth="1"/>
    <col min="1815" max="1815" width="9.85546875" style="59" customWidth="1"/>
    <col min="1816" max="1817" width="9.42578125" style="59" customWidth="1"/>
    <col min="1818" max="1818" width="9.85546875" style="59" customWidth="1"/>
    <col min="1819" max="1820" width="9.28515625" style="59" customWidth="1"/>
    <col min="1821" max="1821" width="9.85546875" style="59" customWidth="1"/>
    <col min="1822" max="1822" width="9.28515625" style="59" customWidth="1"/>
    <col min="1823" max="1823" width="10.42578125" style="59" customWidth="1"/>
    <col min="1824" max="1824" width="5.28515625" style="59" bestFit="1" customWidth="1"/>
    <col min="1825" max="1825" width="9.7109375" style="59" bestFit="1" customWidth="1"/>
    <col min="1826" max="1826" width="11" style="59" bestFit="1" customWidth="1"/>
    <col min="1827" max="1827" width="10.85546875" style="59" bestFit="1" customWidth="1"/>
    <col min="1828" max="1828" width="9.140625" style="59"/>
    <col min="1829" max="1829" width="3.85546875" style="59" bestFit="1" customWidth="1"/>
    <col min="1830" max="1830" width="7.28515625" style="59" bestFit="1" customWidth="1"/>
    <col min="1831" max="1833" width="9.140625" style="59"/>
    <col min="1834" max="1834" width="9.28515625" style="59" customWidth="1"/>
    <col min="1835" max="1835" width="9.28515625" style="59" bestFit="1" customWidth="1"/>
    <col min="1836" max="2048" width="9.140625" style="59"/>
    <col min="2049" max="2049" width="7.85546875" style="59" customWidth="1"/>
    <col min="2050" max="2050" width="12.140625" style="59" customWidth="1"/>
    <col min="2051" max="2051" width="6.28515625" style="59" customWidth="1"/>
    <col min="2052" max="2052" width="11.5703125" style="59" customWidth="1"/>
    <col min="2053" max="2053" width="7.85546875" style="59" customWidth="1"/>
    <col min="2054" max="2054" width="12.28515625" style="59" customWidth="1"/>
    <col min="2055" max="2055" width="5.28515625" style="59" customWidth="1"/>
    <col min="2056" max="2056" width="12.140625" style="59" bestFit="1" customWidth="1"/>
    <col min="2057" max="2057" width="5.7109375" style="59" customWidth="1"/>
    <col min="2058" max="2058" width="11.85546875" style="59" bestFit="1" customWidth="1"/>
    <col min="2059" max="2059" width="8" style="59" customWidth="1"/>
    <col min="2060" max="2060" width="12.5703125" style="59" customWidth="1"/>
    <col min="2061" max="2061" width="9" style="59" customWidth="1"/>
    <col min="2062" max="2062" width="11.7109375" style="59" bestFit="1" customWidth="1"/>
    <col min="2063" max="2063" width="9.42578125" style="59" customWidth="1"/>
    <col min="2064" max="2064" width="4.140625" style="59" customWidth="1"/>
    <col min="2065" max="2065" width="3.28515625" style="59" bestFit="1" customWidth="1"/>
    <col min="2066" max="2066" width="8.85546875" style="59" customWidth="1"/>
    <col min="2067" max="2067" width="10" style="59" bestFit="1" customWidth="1"/>
    <col min="2068" max="2069" width="9.42578125" style="59" customWidth="1"/>
    <col min="2070" max="2070" width="9.5703125" style="59" customWidth="1"/>
    <col min="2071" max="2071" width="9.85546875" style="59" customWidth="1"/>
    <col min="2072" max="2073" width="9.42578125" style="59" customWidth="1"/>
    <col min="2074" max="2074" width="9.85546875" style="59" customWidth="1"/>
    <col min="2075" max="2076" width="9.28515625" style="59" customWidth="1"/>
    <col min="2077" max="2077" width="9.85546875" style="59" customWidth="1"/>
    <col min="2078" max="2078" width="9.28515625" style="59" customWidth="1"/>
    <col min="2079" max="2079" width="10.42578125" style="59" customWidth="1"/>
    <col min="2080" max="2080" width="5.28515625" style="59" bestFit="1" customWidth="1"/>
    <col min="2081" max="2081" width="9.7109375" style="59" bestFit="1" customWidth="1"/>
    <col min="2082" max="2082" width="11" style="59" bestFit="1" customWidth="1"/>
    <col min="2083" max="2083" width="10.85546875" style="59" bestFit="1" customWidth="1"/>
    <col min="2084" max="2084" width="9.140625" style="59"/>
    <col min="2085" max="2085" width="3.85546875" style="59" bestFit="1" customWidth="1"/>
    <col min="2086" max="2086" width="7.28515625" style="59" bestFit="1" customWidth="1"/>
    <col min="2087" max="2089" width="9.140625" style="59"/>
    <col min="2090" max="2090" width="9.28515625" style="59" customWidth="1"/>
    <col min="2091" max="2091" width="9.28515625" style="59" bestFit="1" customWidth="1"/>
    <col min="2092" max="2304" width="9.140625" style="59"/>
    <col min="2305" max="2305" width="7.85546875" style="59" customWidth="1"/>
    <col min="2306" max="2306" width="12.140625" style="59" customWidth="1"/>
    <col min="2307" max="2307" width="6.28515625" style="59" customWidth="1"/>
    <col min="2308" max="2308" width="11.5703125" style="59" customWidth="1"/>
    <col min="2309" max="2309" width="7.85546875" style="59" customWidth="1"/>
    <col min="2310" max="2310" width="12.28515625" style="59" customWidth="1"/>
    <col min="2311" max="2311" width="5.28515625" style="59" customWidth="1"/>
    <col min="2312" max="2312" width="12.140625" style="59" bestFit="1" customWidth="1"/>
    <col min="2313" max="2313" width="5.7109375" style="59" customWidth="1"/>
    <col min="2314" max="2314" width="11.85546875" style="59" bestFit="1" customWidth="1"/>
    <col min="2315" max="2315" width="8" style="59" customWidth="1"/>
    <col min="2316" max="2316" width="12.5703125" style="59" customWidth="1"/>
    <col min="2317" max="2317" width="9" style="59" customWidth="1"/>
    <col min="2318" max="2318" width="11.7109375" style="59" bestFit="1" customWidth="1"/>
    <col min="2319" max="2319" width="9.42578125" style="59" customWidth="1"/>
    <col min="2320" max="2320" width="4.140625" style="59" customWidth="1"/>
    <col min="2321" max="2321" width="3.28515625" style="59" bestFit="1" customWidth="1"/>
    <col min="2322" max="2322" width="8.85546875" style="59" customWidth="1"/>
    <col min="2323" max="2323" width="10" style="59" bestFit="1" customWidth="1"/>
    <col min="2324" max="2325" width="9.42578125" style="59" customWidth="1"/>
    <col min="2326" max="2326" width="9.5703125" style="59" customWidth="1"/>
    <col min="2327" max="2327" width="9.85546875" style="59" customWidth="1"/>
    <col min="2328" max="2329" width="9.42578125" style="59" customWidth="1"/>
    <col min="2330" max="2330" width="9.85546875" style="59" customWidth="1"/>
    <col min="2331" max="2332" width="9.28515625" style="59" customWidth="1"/>
    <col min="2333" max="2333" width="9.85546875" style="59" customWidth="1"/>
    <col min="2334" max="2334" width="9.28515625" style="59" customWidth="1"/>
    <col min="2335" max="2335" width="10.42578125" style="59" customWidth="1"/>
    <col min="2336" max="2336" width="5.28515625" style="59" bestFit="1" customWidth="1"/>
    <col min="2337" max="2337" width="9.7109375" style="59" bestFit="1" customWidth="1"/>
    <col min="2338" max="2338" width="11" style="59" bestFit="1" customWidth="1"/>
    <col min="2339" max="2339" width="10.85546875" style="59" bestFit="1" customWidth="1"/>
    <col min="2340" max="2340" width="9.140625" style="59"/>
    <col min="2341" max="2341" width="3.85546875" style="59" bestFit="1" customWidth="1"/>
    <col min="2342" max="2342" width="7.28515625" style="59" bestFit="1" customWidth="1"/>
    <col min="2343" max="2345" width="9.140625" style="59"/>
    <col min="2346" max="2346" width="9.28515625" style="59" customWidth="1"/>
    <col min="2347" max="2347" width="9.28515625" style="59" bestFit="1" customWidth="1"/>
    <col min="2348" max="2560" width="9.140625" style="59"/>
    <col min="2561" max="2561" width="7.85546875" style="59" customWidth="1"/>
    <col min="2562" max="2562" width="12.140625" style="59" customWidth="1"/>
    <col min="2563" max="2563" width="6.28515625" style="59" customWidth="1"/>
    <col min="2564" max="2564" width="11.5703125" style="59" customWidth="1"/>
    <col min="2565" max="2565" width="7.85546875" style="59" customWidth="1"/>
    <col min="2566" max="2566" width="12.28515625" style="59" customWidth="1"/>
    <col min="2567" max="2567" width="5.28515625" style="59" customWidth="1"/>
    <col min="2568" max="2568" width="12.140625" style="59" bestFit="1" customWidth="1"/>
    <col min="2569" max="2569" width="5.7109375" style="59" customWidth="1"/>
    <col min="2570" max="2570" width="11.85546875" style="59" bestFit="1" customWidth="1"/>
    <col min="2571" max="2571" width="8" style="59" customWidth="1"/>
    <col min="2572" max="2572" width="12.5703125" style="59" customWidth="1"/>
    <col min="2573" max="2573" width="9" style="59" customWidth="1"/>
    <col min="2574" max="2574" width="11.7109375" style="59" bestFit="1" customWidth="1"/>
    <col min="2575" max="2575" width="9.42578125" style="59" customWidth="1"/>
    <col min="2576" max="2576" width="4.140625" style="59" customWidth="1"/>
    <col min="2577" max="2577" width="3.28515625" style="59" bestFit="1" customWidth="1"/>
    <col min="2578" max="2578" width="8.85546875" style="59" customWidth="1"/>
    <col min="2579" max="2579" width="10" style="59" bestFit="1" customWidth="1"/>
    <col min="2580" max="2581" width="9.42578125" style="59" customWidth="1"/>
    <col min="2582" max="2582" width="9.5703125" style="59" customWidth="1"/>
    <col min="2583" max="2583" width="9.85546875" style="59" customWidth="1"/>
    <col min="2584" max="2585" width="9.42578125" style="59" customWidth="1"/>
    <col min="2586" max="2586" width="9.85546875" style="59" customWidth="1"/>
    <col min="2587" max="2588" width="9.28515625" style="59" customWidth="1"/>
    <col min="2589" max="2589" width="9.85546875" style="59" customWidth="1"/>
    <col min="2590" max="2590" width="9.28515625" style="59" customWidth="1"/>
    <col min="2591" max="2591" width="10.42578125" style="59" customWidth="1"/>
    <col min="2592" max="2592" width="5.28515625" style="59" bestFit="1" customWidth="1"/>
    <col min="2593" max="2593" width="9.7109375" style="59" bestFit="1" customWidth="1"/>
    <col min="2594" max="2594" width="11" style="59" bestFit="1" customWidth="1"/>
    <col min="2595" max="2595" width="10.85546875" style="59" bestFit="1" customWidth="1"/>
    <col min="2596" max="2596" width="9.140625" style="59"/>
    <col min="2597" max="2597" width="3.85546875" style="59" bestFit="1" customWidth="1"/>
    <col min="2598" max="2598" width="7.28515625" style="59" bestFit="1" customWidth="1"/>
    <col min="2599" max="2601" width="9.140625" style="59"/>
    <col min="2602" max="2602" width="9.28515625" style="59" customWidth="1"/>
    <col min="2603" max="2603" width="9.28515625" style="59" bestFit="1" customWidth="1"/>
    <col min="2604" max="2816" width="9.140625" style="59"/>
    <col min="2817" max="2817" width="7.85546875" style="59" customWidth="1"/>
    <col min="2818" max="2818" width="12.140625" style="59" customWidth="1"/>
    <col min="2819" max="2819" width="6.28515625" style="59" customWidth="1"/>
    <col min="2820" max="2820" width="11.5703125" style="59" customWidth="1"/>
    <col min="2821" max="2821" width="7.85546875" style="59" customWidth="1"/>
    <col min="2822" max="2822" width="12.28515625" style="59" customWidth="1"/>
    <col min="2823" max="2823" width="5.28515625" style="59" customWidth="1"/>
    <col min="2824" max="2824" width="12.140625" style="59" bestFit="1" customWidth="1"/>
    <col min="2825" max="2825" width="5.7109375" style="59" customWidth="1"/>
    <col min="2826" max="2826" width="11.85546875" style="59" bestFit="1" customWidth="1"/>
    <col min="2827" max="2827" width="8" style="59" customWidth="1"/>
    <col min="2828" max="2828" width="12.5703125" style="59" customWidth="1"/>
    <col min="2829" max="2829" width="9" style="59" customWidth="1"/>
    <col min="2830" max="2830" width="11.7109375" style="59" bestFit="1" customWidth="1"/>
    <col min="2831" max="2831" width="9.42578125" style="59" customWidth="1"/>
    <col min="2832" max="2832" width="4.140625" style="59" customWidth="1"/>
    <col min="2833" max="2833" width="3.28515625" style="59" bestFit="1" customWidth="1"/>
    <col min="2834" max="2834" width="8.85546875" style="59" customWidth="1"/>
    <col min="2835" max="2835" width="10" style="59" bestFit="1" customWidth="1"/>
    <col min="2836" max="2837" width="9.42578125" style="59" customWidth="1"/>
    <col min="2838" max="2838" width="9.5703125" style="59" customWidth="1"/>
    <col min="2839" max="2839" width="9.85546875" style="59" customWidth="1"/>
    <col min="2840" max="2841" width="9.42578125" style="59" customWidth="1"/>
    <col min="2842" max="2842" width="9.85546875" style="59" customWidth="1"/>
    <col min="2843" max="2844" width="9.28515625" style="59" customWidth="1"/>
    <col min="2845" max="2845" width="9.85546875" style="59" customWidth="1"/>
    <col min="2846" max="2846" width="9.28515625" style="59" customWidth="1"/>
    <col min="2847" max="2847" width="10.42578125" style="59" customWidth="1"/>
    <col min="2848" max="2848" width="5.28515625" style="59" bestFit="1" customWidth="1"/>
    <col min="2849" max="2849" width="9.7109375" style="59" bestFit="1" customWidth="1"/>
    <col min="2850" max="2850" width="11" style="59" bestFit="1" customWidth="1"/>
    <col min="2851" max="2851" width="10.85546875" style="59" bestFit="1" customWidth="1"/>
    <col min="2852" max="2852" width="9.140625" style="59"/>
    <col min="2853" max="2853" width="3.85546875" style="59" bestFit="1" customWidth="1"/>
    <col min="2854" max="2854" width="7.28515625" style="59" bestFit="1" customWidth="1"/>
    <col min="2855" max="2857" width="9.140625" style="59"/>
    <col min="2858" max="2858" width="9.28515625" style="59" customWidth="1"/>
    <col min="2859" max="2859" width="9.28515625" style="59" bestFit="1" customWidth="1"/>
    <col min="2860" max="3072" width="9.140625" style="59"/>
    <col min="3073" max="3073" width="7.85546875" style="59" customWidth="1"/>
    <col min="3074" max="3074" width="12.140625" style="59" customWidth="1"/>
    <col min="3075" max="3075" width="6.28515625" style="59" customWidth="1"/>
    <col min="3076" max="3076" width="11.5703125" style="59" customWidth="1"/>
    <col min="3077" max="3077" width="7.85546875" style="59" customWidth="1"/>
    <col min="3078" max="3078" width="12.28515625" style="59" customWidth="1"/>
    <col min="3079" max="3079" width="5.28515625" style="59" customWidth="1"/>
    <col min="3080" max="3080" width="12.140625" style="59" bestFit="1" customWidth="1"/>
    <col min="3081" max="3081" width="5.7109375" style="59" customWidth="1"/>
    <col min="3082" max="3082" width="11.85546875" style="59" bestFit="1" customWidth="1"/>
    <col min="3083" max="3083" width="8" style="59" customWidth="1"/>
    <col min="3084" max="3084" width="12.5703125" style="59" customWidth="1"/>
    <col min="3085" max="3085" width="9" style="59" customWidth="1"/>
    <col min="3086" max="3086" width="11.7109375" style="59" bestFit="1" customWidth="1"/>
    <col min="3087" max="3087" width="9.42578125" style="59" customWidth="1"/>
    <col min="3088" max="3088" width="4.140625" style="59" customWidth="1"/>
    <col min="3089" max="3089" width="3.28515625" style="59" bestFit="1" customWidth="1"/>
    <col min="3090" max="3090" width="8.85546875" style="59" customWidth="1"/>
    <col min="3091" max="3091" width="10" style="59" bestFit="1" customWidth="1"/>
    <col min="3092" max="3093" width="9.42578125" style="59" customWidth="1"/>
    <col min="3094" max="3094" width="9.5703125" style="59" customWidth="1"/>
    <col min="3095" max="3095" width="9.85546875" style="59" customWidth="1"/>
    <col min="3096" max="3097" width="9.42578125" style="59" customWidth="1"/>
    <col min="3098" max="3098" width="9.85546875" style="59" customWidth="1"/>
    <col min="3099" max="3100" width="9.28515625" style="59" customWidth="1"/>
    <col min="3101" max="3101" width="9.85546875" style="59" customWidth="1"/>
    <col min="3102" max="3102" width="9.28515625" style="59" customWidth="1"/>
    <col min="3103" max="3103" width="10.42578125" style="59" customWidth="1"/>
    <col min="3104" max="3104" width="5.28515625" style="59" bestFit="1" customWidth="1"/>
    <col min="3105" max="3105" width="9.7109375" style="59" bestFit="1" customWidth="1"/>
    <col min="3106" max="3106" width="11" style="59" bestFit="1" customWidth="1"/>
    <col min="3107" max="3107" width="10.85546875" style="59" bestFit="1" customWidth="1"/>
    <col min="3108" max="3108" width="9.140625" style="59"/>
    <col min="3109" max="3109" width="3.85546875" style="59" bestFit="1" customWidth="1"/>
    <col min="3110" max="3110" width="7.28515625" style="59" bestFit="1" customWidth="1"/>
    <col min="3111" max="3113" width="9.140625" style="59"/>
    <col min="3114" max="3114" width="9.28515625" style="59" customWidth="1"/>
    <col min="3115" max="3115" width="9.28515625" style="59" bestFit="1" customWidth="1"/>
    <col min="3116" max="3328" width="9.140625" style="59"/>
    <col min="3329" max="3329" width="7.85546875" style="59" customWidth="1"/>
    <col min="3330" max="3330" width="12.140625" style="59" customWidth="1"/>
    <col min="3331" max="3331" width="6.28515625" style="59" customWidth="1"/>
    <col min="3332" max="3332" width="11.5703125" style="59" customWidth="1"/>
    <col min="3333" max="3333" width="7.85546875" style="59" customWidth="1"/>
    <col min="3334" max="3334" width="12.28515625" style="59" customWidth="1"/>
    <col min="3335" max="3335" width="5.28515625" style="59" customWidth="1"/>
    <col min="3336" max="3336" width="12.140625" style="59" bestFit="1" customWidth="1"/>
    <col min="3337" max="3337" width="5.7109375" style="59" customWidth="1"/>
    <col min="3338" max="3338" width="11.85546875" style="59" bestFit="1" customWidth="1"/>
    <col min="3339" max="3339" width="8" style="59" customWidth="1"/>
    <col min="3340" max="3340" width="12.5703125" style="59" customWidth="1"/>
    <col min="3341" max="3341" width="9" style="59" customWidth="1"/>
    <col min="3342" max="3342" width="11.7109375" style="59" bestFit="1" customWidth="1"/>
    <col min="3343" max="3343" width="9.42578125" style="59" customWidth="1"/>
    <col min="3344" max="3344" width="4.140625" style="59" customWidth="1"/>
    <col min="3345" max="3345" width="3.28515625" style="59" bestFit="1" customWidth="1"/>
    <col min="3346" max="3346" width="8.85546875" style="59" customWidth="1"/>
    <col min="3347" max="3347" width="10" style="59" bestFit="1" customWidth="1"/>
    <col min="3348" max="3349" width="9.42578125" style="59" customWidth="1"/>
    <col min="3350" max="3350" width="9.5703125" style="59" customWidth="1"/>
    <col min="3351" max="3351" width="9.85546875" style="59" customWidth="1"/>
    <col min="3352" max="3353" width="9.42578125" style="59" customWidth="1"/>
    <col min="3354" max="3354" width="9.85546875" style="59" customWidth="1"/>
    <col min="3355" max="3356" width="9.28515625" style="59" customWidth="1"/>
    <col min="3357" max="3357" width="9.85546875" style="59" customWidth="1"/>
    <col min="3358" max="3358" width="9.28515625" style="59" customWidth="1"/>
    <col min="3359" max="3359" width="10.42578125" style="59" customWidth="1"/>
    <col min="3360" max="3360" width="5.28515625" style="59" bestFit="1" customWidth="1"/>
    <col min="3361" max="3361" width="9.7109375" style="59" bestFit="1" customWidth="1"/>
    <col min="3362" max="3362" width="11" style="59" bestFit="1" customWidth="1"/>
    <col min="3363" max="3363" width="10.85546875" style="59" bestFit="1" customWidth="1"/>
    <col min="3364" max="3364" width="9.140625" style="59"/>
    <col min="3365" max="3365" width="3.85546875" style="59" bestFit="1" customWidth="1"/>
    <col min="3366" max="3366" width="7.28515625" style="59" bestFit="1" customWidth="1"/>
    <col min="3367" max="3369" width="9.140625" style="59"/>
    <col min="3370" max="3370" width="9.28515625" style="59" customWidth="1"/>
    <col min="3371" max="3371" width="9.28515625" style="59" bestFit="1" customWidth="1"/>
    <col min="3372" max="3584" width="9.140625" style="59"/>
    <col min="3585" max="3585" width="7.85546875" style="59" customWidth="1"/>
    <col min="3586" max="3586" width="12.140625" style="59" customWidth="1"/>
    <col min="3587" max="3587" width="6.28515625" style="59" customWidth="1"/>
    <col min="3588" max="3588" width="11.5703125" style="59" customWidth="1"/>
    <col min="3589" max="3589" width="7.85546875" style="59" customWidth="1"/>
    <col min="3590" max="3590" width="12.28515625" style="59" customWidth="1"/>
    <col min="3591" max="3591" width="5.28515625" style="59" customWidth="1"/>
    <col min="3592" max="3592" width="12.140625" style="59" bestFit="1" customWidth="1"/>
    <col min="3593" max="3593" width="5.7109375" style="59" customWidth="1"/>
    <col min="3594" max="3594" width="11.85546875" style="59" bestFit="1" customWidth="1"/>
    <col min="3595" max="3595" width="8" style="59" customWidth="1"/>
    <col min="3596" max="3596" width="12.5703125" style="59" customWidth="1"/>
    <col min="3597" max="3597" width="9" style="59" customWidth="1"/>
    <col min="3598" max="3598" width="11.7109375" style="59" bestFit="1" customWidth="1"/>
    <col min="3599" max="3599" width="9.42578125" style="59" customWidth="1"/>
    <col min="3600" max="3600" width="4.140625" style="59" customWidth="1"/>
    <col min="3601" max="3601" width="3.28515625" style="59" bestFit="1" customWidth="1"/>
    <col min="3602" max="3602" width="8.85546875" style="59" customWidth="1"/>
    <col min="3603" max="3603" width="10" style="59" bestFit="1" customWidth="1"/>
    <col min="3604" max="3605" width="9.42578125" style="59" customWidth="1"/>
    <col min="3606" max="3606" width="9.5703125" style="59" customWidth="1"/>
    <col min="3607" max="3607" width="9.85546875" style="59" customWidth="1"/>
    <col min="3608" max="3609" width="9.42578125" style="59" customWidth="1"/>
    <col min="3610" max="3610" width="9.85546875" style="59" customWidth="1"/>
    <col min="3611" max="3612" width="9.28515625" style="59" customWidth="1"/>
    <col min="3613" max="3613" width="9.85546875" style="59" customWidth="1"/>
    <col min="3614" max="3614" width="9.28515625" style="59" customWidth="1"/>
    <col min="3615" max="3615" width="10.42578125" style="59" customWidth="1"/>
    <col min="3616" max="3616" width="5.28515625" style="59" bestFit="1" customWidth="1"/>
    <col min="3617" max="3617" width="9.7109375" style="59" bestFit="1" customWidth="1"/>
    <col min="3618" max="3618" width="11" style="59" bestFit="1" customWidth="1"/>
    <col min="3619" max="3619" width="10.85546875" style="59" bestFit="1" customWidth="1"/>
    <col min="3620" max="3620" width="9.140625" style="59"/>
    <col min="3621" max="3621" width="3.85546875" style="59" bestFit="1" customWidth="1"/>
    <col min="3622" max="3622" width="7.28515625" style="59" bestFit="1" customWidth="1"/>
    <col min="3623" max="3625" width="9.140625" style="59"/>
    <col min="3626" max="3626" width="9.28515625" style="59" customWidth="1"/>
    <col min="3627" max="3627" width="9.28515625" style="59" bestFit="1" customWidth="1"/>
    <col min="3628" max="3840" width="9.140625" style="59"/>
    <col min="3841" max="3841" width="7.85546875" style="59" customWidth="1"/>
    <col min="3842" max="3842" width="12.140625" style="59" customWidth="1"/>
    <col min="3843" max="3843" width="6.28515625" style="59" customWidth="1"/>
    <col min="3844" max="3844" width="11.5703125" style="59" customWidth="1"/>
    <col min="3845" max="3845" width="7.85546875" style="59" customWidth="1"/>
    <col min="3846" max="3846" width="12.28515625" style="59" customWidth="1"/>
    <col min="3847" max="3847" width="5.28515625" style="59" customWidth="1"/>
    <col min="3848" max="3848" width="12.140625" style="59" bestFit="1" customWidth="1"/>
    <col min="3849" max="3849" width="5.7109375" style="59" customWidth="1"/>
    <col min="3850" max="3850" width="11.85546875" style="59" bestFit="1" customWidth="1"/>
    <col min="3851" max="3851" width="8" style="59" customWidth="1"/>
    <col min="3852" max="3852" width="12.5703125" style="59" customWidth="1"/>
    <col min="3853" max="3853" width="9" style="59" customWidth="1"/>
    <col min="3854" max="3854" width="11.7109375" style="59" bestFit="1" customWidth="1"/>
    <col min="3855" max="3855" width="9.42578125" style="59" customWidth="1"/>
    <col min="3856" max="3856" width="4.140625" style="59" customWidth="1"/>
    <col min="3857" max="3857" width="3.28515625" style="59" bestFit="1" customWidth="1"/>
    <col min="3858" max="3858" width="8.85546875" style="59" customWidth="1"/>
    <col min="3859" max="3859" width="10" style="59" bestFit="1" customWidth="1"/>
    <col min="3860" max="3861" width="9.42578125" style="59" customWidth="1"/>
    <col min="3862" max="3862" width="9.5703125" style="59" customWidth="1"/>
    <col min="3863" max="3863" width="9.85546875" style="59" customWidth="1"/>
    <col min="3864" max="3865" width="9.42578125" style="59" customWidth="1"/>
    <col min="3866" max="3866" width="9.85546875" style="59" customWidth="1"/>
    <col min="3867" max="3868" width="9.28515625" style="59" customWidth="1"/>
    <col min="3869" max="3869" width="9.85546875" style="59" customWidth="1"/>
    <col min="3870" max="3870" width="9.28515625" style="59" customWidth="1"/>
    <col min="3871" max="3871" width="10.42578125" style="59" customWidth="1"/>
    <col min="3872" max="3872" width="5.28515625" style="59" bestFit="1" customWidth="1"/>
    <col min="3873" max="3873" width="9.7109375" style="59" bestFit="1" customWidth="1"/>
    <col min="3874" max="3874" width="11" style="59" bestFit="1" customWidth="1"/>
    <col min="3875" max="3875" width="10.85546875" style="59" bestFit="1" customWidth="1"/>
    <col min="3876" max="3876" width="9.140625" style="59"/>
    <col min="3877" max="3877" width="3.85546875" style="59" bestFit="1" customWidth="1"/>
    <col min="3878" max="3878" width="7.28515625" style="59" bestFit="1" customWidth="1"/>
    <col min="3879" max="3881" width="9.140625" style="59"/>
    <col min="3882" max="3882" width="9.28515625" style="59" customWidth="1"/>
    <col min="3883" max="3883" width="9.28515625" style="59" bestFit="1" customWidth="1"/>
    <col min="3884" max="4096" width="9.140625" style="59"/>
    <col min="4097" max="4097" width="7.85546875" style="59" customWidth="1"/>
    <col min="4098" max="4098" width="12.140625" style="59" customWidth="1"/>
    <col min="4099" max="4099" width="6.28515625" style="59" customWidth="1"/>
    <col min="4100" max="4100" width="11.5703125" style="59" customWidth="1"/>
    <col min="4101" max="4101" width="7.85546875" style="59" customWidth="1"/>
    <col min="4102" max="4102" width="12.28515625" style="59" customWidth="1"/>
    <col min="4103" max="4103" width="5.28515625" style="59" customWidth="1"/>
    <col min="4104" max="4104" width="12.140625" style="59" bestFit="1" customWidth="1"/>
    <col min="4105" max="4105" width="5.7109375" style="59" customWidth="1"/>
    <col min="4106" max="4106" width="11.85546875" style="59" bestFit="1" customWidth="1"/>
    <col min="4107" max="4107" width="8" style="59" customWidth="1"/>
    <col min="4108" max="4108" width="12.5703125" style="59" customWidth="1"/>
    <col min="4109" max="4109" width="9" style="59" customWidth="1"/>
    <col min="4110" max="4110" width="11.7109375" style="59" bestFit="1" customWidth="1"/>
    <col min="4111" max="4111" width="9.42578125" style="59" customWidth="1"/>
    <col min="4112" max="4112" width="4.140625" style="59" customWidth="1"/>
    <col min="4113" max="4113" width="3.28515625" style="59" bestFit="1" customWidth="1"/>
    <col min="4114" max="4114" width="8.85546875" style="59" customWidth="1"/>
    <col min="4115" max="4115" width="10" style="59" bestFit="1" customWidth="1"/>
    <col min="4116" max="4117" width="9.42578125" style="59" customWidth="1"/>
    <col min="4118" max="4118" width="9.5703125" style="59" customWidth="1"/>
    <col min="4119" max="4119" width="9.85546875" style="59" customWidth="1"/>
    <col min="4120" max="4121" width="9.42578125" style="59" customWidth="1"/>
    <col min="4122" max="4122" width="9.85546875" style="59" customWidth="1"/>
    <col min="4123" max="4124" width="9.28515625" style="59" customWidth="1"/>
    <col min="4125" max="4125" width="9.85546875" style="59" customWidth="1"/>
    <col min="4126" max="4126" width="9.28515625" style="59" customWidth="1"/>
    <col min="4127" max="4127" width="10.42578125" style="59" customWidth="1"/>
    <col min="4128" max="4128" width="5.28515625" style="59" bestFit="1" customWidth="1"/>
    <col min="4129" max="4129" width="9.7109375" style="59" bestFit="1" customWidth="1"/>
    <col min="4130" max="4130" width="11" style="59" bestFit="1" customWidth="1"/>
    <col min="4131" max="4131" width="10.85546875" style="59" bestFit="1" customWidth="1"/>
    <col min="4132" max="4132" width="9.140625" style="59"/>
    <col min="4133" max="4133" width="3.85546875" style="59" bestFit="1" customWidth="1"/>
    <col min="4134" max="4134" width="7.28515625" style="59" bestFit="1" customWidth="1"/>
    <col min="4135" max="4137" width="9.140625" style="59"/>
    <col min="4138" max="4138" width="9.28515625" style="59" customWidth="1"/>
    <col min="4139" max="4139" width="9.28515625" style="59" bestFit="1" customWidth="1"/>
    <col min="4140" max="4352" width="9.140625" style="59"/>
    <col min="4353" max="4353" width="7.85546875" style="59" customWidth="1"/>
    <col min="4354" max="4354" width="12.140625" style="59" customWidth="1"/>
    <col min="4355" max="4355" width="6.28515625" style="59" customWidth="1"/>
    <col min="4356" max="4356" width="11.5703125" style="59" customWidth="1"/>
    <col min="4357" max="4357" width="7.85546875" style="59" customWidth="1"/>
    <col min="4358" max="4358" width="12.28515625" style="59" customWidth="1"/>
    <col min="4359" max="4359" width="5.28515625" style="59" customWidth="1"/>
    <col min="4360" max="4360" width="12.140625" style="59" bestFit="1" customWidth="1"/>
    <col min="4361" max="4361" width="5.7109375" style="59" customWidth="1"/>
    <col min="4362" max="4362" width="11.85546875" style="59" bestFit="1" customWidth="1"/>
    <col min="4363" max="4363" width="8" style="59" customWidth="1"/>
    <col min="4364" max="4364" width="12.5703125" style="59" customWidth="1"/>
    <col min="4365" max="4365" width="9" style="59" customWidth="1"/>
    <col min="4366" max="4366" width="11.7109375" style="59" bestFit="1" customWidth="1"/>
    <col min="4367" max="4367" width="9.42578125" style="59" customWidth="1"/>
    <col min="4368" max="4368" width="4.140625" style="59" customWidth="1"/>
    <col min="4369" max="4369" width="3.28515625" style="59" bestFit="1" customWidth="1"/>
    <col min="4370" max="4370" width="8.85546875" style="59" customWidth="1"/>
    <col min="4371" max="4371" width="10" style="59" bestFit="1" customWidth="1"/>
    <col min="4372" max="4373" width="9.42578125" style="59" customWidth="1"/>
    <col min="4374" max="4374" width="9.5703125" style="59" customWidth="1"/>
    <col min="4375" max="4375" width="9.85546875" style="59" customWidth="1"/>
    <col min="4376" max="4377" width="9.42578125" style="59" customWidth="1"/>
    <col min="4378" max="4378" width="9.85546875" style="59" customWidth="1"/>
    <col min="4379" max="4380" width="9.28515625" style="59" customWidth="1"/>
    <col min="4381" max="4381" width="9.85546875" style="59" customWidth="1"/>
    <col min="4382" max="4382" width="9.28515625" style="59" customWidth="1"/>
    <col min="4383" max="4383" width="10.42578125" style="59" customWidth="1"/>
    <col min="4384" max="4384" width="5.28515625" style="59" bestFit="1" customWidth="1"/>
    <col min="4385" max="4385" width="9.7109375" style="59" bestFit="1" customWidth="1"/>
    <col min="4386" max="4386" width="11" style="59" bestFit="1" customWidth="1"/>
    <col min="4387" max="4387" width="10.85546875" style="59" bestFit="1" customWidth="1"/>
    <col min="4388" max="4388" width="9.140625" style="59"/>
    <col min="4389" max="4389" width="3.85546875" style="59" bestFit="1" customWidth="1"/>
    <col min="4390" max="4390" width="7.28515625" style="59" bestFit="1" customWidth="1"/>
    <col min="4391" max="4393" width="9.140625" style="59"/>
    <col min="4394" max="4394" width="9.28515625" style="59" customWidth="1"/>
    <col min="4395" max="4395" width="9.28515625" style="59" bestFit="1" customWidth="1"/>
    <col min="4396" max="4608" width="9.140625" style="59"/>
    <col min="4609" max="4609" width="7.85546875" style="59" customWidth="1"/>
    <col min="4610" max="4610" width="12.140625" style="59" customWidth="1"/>
    <col min="4611" max="4611" width="6.28515625" style="59" customWidth="1"/>
    <col min="4612" max="4612" width="11.5703125" style="59" customWidth="1"/>
    <col min="4613" max="4613" width="7.85546875" style="59" customWidth="1"/>
    <col min="4614" max="4614" width="12.28515625" style="59" customWidth="1"/>
    <col min="4615" max="4615" width="5.28515625" style="59" customWidth="1"/>
    <col min="4616" max="4616" width="12.140625" style="59" bestFit="1" customWidth="1"/>
    <col min="4617" max="4617" width="5.7109375" style="59" customWidth="1"/>
    <col min="4618" max="4618" width="11.85546875" style="59" bestFit="1" customWidth="1"/>
    <col min="4619" max="4619" width="8" style="59" customWidth="1"/>
    <col min="4620" max="4620" width="12.5703125" style="59" customWidth="1"/>
    <col min="4621" max="4621" width="9" style="59" customWidth="1"/>
    <col min="4622" max="4622" width="11.7109375" style="59" bestFit="1" customWidth="1"/>
    <col min="4623" max="4623" width="9.42578125" style="59" customWidth="1"/>
    <col min="4624" max="4624" width="4.140625" style="59" customWidth="1"/>
    <col min="4625" max="4625" width="3.28515625" style="59" bestFit="1" customWidth="1"/>
    <col min="4626" max="4626" width="8.85546875" style="59" customWidth="1"/>
    <col min="4627" max="4627" width="10" style="59" bestFit="1" customWidth="1"/>
    <col min="4628" max="4629" width="9.42578125" style="59" customWidth="1"/>
    <col min="4630" max="4630" width="9.5703125" style="59" customWidth="1"/>
    <col min="4631" max="4631" width="9.85546875" style="59" customWidth="1"/>
    <col min="4632" max="4633" width="9.42578125" style="59" customWidth="1"/>
    <col min="4634" max="4634" width="9.85546875" style="59" customWidth="1"/>
    <col min="4635" max="4636" width="9.28515625" style="59" customWidth="1"/>
    <col min="4637" max="4637" width="9.85546875" style="59" customWidth="1"/>
    <col min="4638" max="4638" width="9.28515625" style="59" customWidth="1"/>
    <col min="4639" max="4639" width="10.42578125" style="59" customWidth="1"/>
    <col min="4640" max="4640" width="5.28515625" style="59" bestFit="1" customWidth="1"/>
    <col min="4641" max="4641" width="9.7109375" style="59" bestFit="1" customWidth="1"/>
    <col min="4642" max="4642" width="11" style="59" bestFit="1" customWidth="1"/>
    <col min="4643" max="4643" width="10.85546875" style="59" bestFit="1" customWidth="1"/>
    <col min="4644" max="4644" width="9.140625" style="59"/>
    <col min="4645" max="4645" width="3.85546875" style="59" bestFit="1" customWidth="1"/>
    <col min="4646" max="4646" width="7.28515625" style="59" bestFit="1" customWidth="1"/>
    <col min="4647" max="4649" width="9.140625" style="59"/>
    <col min="4650" max="4650" width="9.28515625" style="59" customWidth="1"/>
    <col min="4651" max="4651" width="9.28515625" style="59" bestFit="1" customWidth="1"/>
    <col min="4652" max="4864" width="9.140625" style="59"/>
    <col min="4865" max="4865" width="7.85546875" style="59" customWidth="1"/>
    <col min="4866" max="4866" width="12.140625" style="59" customWidth="1"/>
    <col min="4867" max="4867" width="6.28515625" style="59" customWidth="1"/>
    <col min="4868" max="4868" width="11.5703125" style="59" customWidth="1"/>
    <col min="4869" max="4869" width="7.85546875" style="59" customWidth="1"/>
    <col min="4870" max="4870" width="12.28515625" style="59" customWidth="1"/>
    <col min="4871" max="4871" width="5.28515625" style="59" customWidth="1"/>
    <col min="4872" max="4872" width="12.140625" style="59" bestFit="1" customWidth="1"/>
    <col min="4873" max="4873" width="5.7109375" style="59" customWidth="1"/>
    <col min="4874" max="4874" width="11.85546875" style="59" bestFit="1" customWidth="1"/>
    <col min="4875" max="4875" width="8" style="59" customWidth="1"/>
    <col min="4876" max="4876" width="12.5703125" style="59" customWidth="1"/>
    <col min="4877" max="4877" width="9" style="59" customWidth="1"/>
    <col min="4878" max="4878" width="11.7109375" style="59" bestFit="1" customWidth="1"/>
    <col min="4879" max="4879" width="9.42578125" style="59" customWidth="1"/>
    <col min="4880" max="4880" width="4.140625" style="59" customWidth="1"/>
    <col min="4881" max="4881" width="3.28515625" style="59" bestFit="1" customWidth="1"/>
    <col min="4882" max="4882" width="8.85546875" style="59" customWidth="1"/>
    <col min="4883" max="4883" width="10" style="59" bestFit="1" customWidth="1"/>
    <col min="4884" max="4885" width="9.42578125" style="59" customWidth="1"/>
    <col min="4886" max="4886" width="9.5703125" style="59" customWidth="1"/>
    <col min="4887" max="4887" width="9.85546875" style="59" customWidth="1"/>
    <col min="4888" max="4889" width="9.42578125" style="59" customWidth="1"/>
    <col min="4890" max="4890" width="9.85546875" style="59" customWidth="1"/>
    <col min="4891" max="4892" width="9.28515625" style="59" customWidth="1"/>
    <col min="4893" max="4893" width="9.85546875" style="59" customWidth="1"/>
    <col min="4894" max="4894" width="9.28515625" style="59" customWidth="1"/>
    <col min="4895" max="4895" width="10.42578125" style="59" customWidth="1"/>
    <col min="4896" max="4896" width="5.28515625" style="59" bestFit="1" customWidth="1"/>
    <col min="4897" max="4897" width="9.7109375" style="59" bestFit="1" customWidth="1"/>
    <col min="4898" max="4898" width="11" style="59" bestFit="1" customWidth="1"/>
    <col min="4899" max="4899" width="10.85546875" style="59" bestFit="1" customWidth="1"/>
    <col min="4900" max="4900" width="9.140625" style="59"/>
    <col min="4901" max="4901" width="3.85546875" style="59" bestFit="1" customWidth="1"/>
    <col min="4902" max="4902" width="7.28515625" style="59" bestFit="1" customWidth="1"/>
    <col min="4903" max="4905" width="9.140625" style="59"/>
    <col min="4906" max="4906" width="9.28515625" style="59" customWidth="1"/>
    <col min="4907" max="4907" width="9.28515625" style="59" bestFit="1" customWidth="1"/>
    <col min="4908" max="5120" width="9.140625" style="59"/>
    <col min="5121" max="5121" width="7.85546875" style="59" customWidth="1"/>
    <col min="5122" max="5122" width="12.140625" style="59" customWidth="1"/>
    <col min="5123" max="5123" width="6.28515625" style="59" customWidth="1"/>
    <col min="5124" max="5124" width="11.5703125" style="59" customWidth="1"/>
    <col min="5125" max="5125" width="7.85546875" style="59" customWidth="1"/>
    <col min="5126" max="5126" width="12.28515625" style="59" customWidth="1"/>
    <col min="5127" max="5127" width="5.28515625" style="59" customWidth="1"/>
    <col min="5128" max="5128" width="12.140625" style="59" bestFit="1" customWidth="1"/>
    <col min="5129" max="5129" width="5.7109375" style="59" customWidth="1"/>
    <col min="5130" max="5130" width="11.85546875" style="59" bestFit="1" customWidth="1"/>
    <col min="5131" max="5131" width="8" style="59" customWidth="1"/>
    <col min="5132" max="5132" width="12.5703125" style="59" customWidth="1"/>
    <col min="5133" max="5133" width="9" style="59" customWidth="1"/>
    <col min="5134" max="5134" width="11.7109375" style="59" bestFit="1" customWidth="1"/>
    <col min="5135" max="5135" width="9.42578125" style="59" customWidth="1"/>
    <col min="5136" max="5136" width="4.140625" style="59" customWidth="1"/>
    <col min="5137" max="5137" width="3.28515625" style="59" bestFit="1" customWidth="1"/>
    <col min="5138" max="5138" width="8.85546875" style="59" customWidth="1"/>
    <col min="5139" max="5139" width="10" style="59" bestFit="1" customWidth="1"/>
    <col min="5140" max="5141" width="9.42578125" style="59" customWidth="1"/>
    <col min="5142" max="5142" width="9.5703125" style="59" customWidth="1"/>
    <col min="5143" max="5143" width="9.85546875" style="59" customWidth="1"/>
    <col min="5144" max="5145" width="9.42578125" style="59" customWidth="1"/>
    <col min="5146" max="5146" width="9.85546875" style="59" customWidth="1"/>
    <col min="5147" max="5148" width="9.28515625" style="59" customWidth="1"/>
    <col min="5149" max="5149" width="9.85546875" style="59" customWidth="1"/>
    <col min="5150" max="5150" width="9.28515625" style="59" customWidth="1"/>
    <col min="5151" max="5151" width="10.42578125" style="59" customWidth="1"/>
    <col min="5152" max="5152" width="5.28515625" style="59" bestFit="1" customWidth="1"/>
    <col min="5153" max="5153" width="9.7109375" style="59" bestFit="1" customWidth="1"/>
    <col min="5154" max="5154" width="11" style="59" bestFit="1" customWidth="1"/>
    <col min="5155" max="5155" width="10.85546875" style="59" bestFit="1" customWidth="1"/>
    <col min="5156" max="5156" width="9.140625" style="59"/>
    <col min="5157" max="5157" width="3.85546875" style="59" bestFit="1" customWidth="1"/>
    <col min="5158" max="5158" width="7.28515625" style="59" bestFit="1" customWidth="1"/>
    <col min="5159" max="5161" width="9.140625" style="59"/>
    <col min="5162" max="5162" width="9.28515625" style="59" customWidth="1"/>
    <col min="5163" max="5163" width="9.28515625" style="59" bestFit="1" customWidth="1"/>
    <col min="5164" max="5376" width="9.140625" style="59"/>
    <col min="5377" max="5377" width="7.85546875" style="59" customWidth="1"/>
    <col min="5378" max="5378" width="12.140625" style="59" customWidth="1"/>
    <col min="5379" max="5379" width="6.28515625" style="59" customWidth="1"/>
    <col min="5380" max="5380" width="11.5703125" style="59" customWidth="1"/>
    <col min="5381" max="5381" width="7.85546875" style="59" customWidth="1"/>
    <col min="5382" max="5382" width="12.28515625" style="59" customWidth="1"/>
    <col min="5383" max="5383" width="5.28515625" style="59" customWidth="1"/>
    <col min="5384" max="5384" width="12.140625" style="59" bestFit="1" customWidth="1"/>
    <col min="5385" max="5385" width="5.7109375" style="59" customWidth="1"/>
    <col min="5386" max="5386" width="11.85546875" style="59" bestFit="1" customWidth="1"/>
    <col min="5387" max="5387" width="8" style="59" customWidth="1"/>
    <col min="5388" max="5388" width="12.5703125" style="59" customWidth="1"/>
    <col min="5389" max="5389" width="9" style="59" customWidth="1"/>
    <col min="5390" max="5390" width="11.7109375" style="59" bestFit="1" customWidth="1"/>
    <col min="5391" max="5391" width="9.42578125" style="59" customWidth="1"/>
    <col min="5392" max="5392" width="4.140625" style="59" customWidth="1"/>
    <col min="5393" max="5393" width="3.28515625" style="59" bestFit="1" customWidth="1"/>
    <col min="5394" max="5394" width="8.85546875" style="59" customWidth="1"/>
    <col min="5395" max="5395" width="10" style="59" bestFit="1" customWidth="1"/>
    <col min="5396" max="5397" width="9.42578125" style="59" customWidth="1"/>
    <col min="5398" max="5398" width="9.5703125" style="59" customWidth="1"/>
    <col min="5399" max="5399" width="9.85546875" style="59" customWidth="1"/>
    <col min="5400" max="5401" width="9.42578125" style="59" customWidth="1"/>
    <col min="5402" max="5402" width="9.85546875" style="59" customWidth="1"/>
    <col min="5403" max="5404" width="9.28515625" style="59" customWidth="1"/>
    <col min="5405" max="5405" width="9.85546875" style="59" customWidth="1"/>
    <col min="5406" max="5406" width="9.28515625" style="59" customWidth="1"/>
    <col min="5407" max="5407" width="10.42578125" style="59" customWidth="1"/>
    <col min="5408" max="5408" width="5.28515625" style="59" bestFit="1" customWidth="1"/>
    <col min="5409" max="5409" width="9.7109375" style="59" bestFit="1" customWidth="1"/>
    <col min="5410" max="5410" width="11" style="59" bestFit="1" customWidth="1"/>
    <col min="5411" max="5411" width="10.85546875" style="59" bestFit="1" customWidth="1"/>
    <col min="5412" max="5412" width="9.140625" style="59"/>
    <col min="5413" max="5413" width="3.85546875" style="59" bestFit="1" customWidth="1"/>
    <col min="5414" max="5414" width="7.28515625" style="59" bestFit="1" customWidth="1"/>
    <col min="5415" max="5417" width="9.140625" style="59"/>
    <col min="5418" max="5418" width="9.28515625" style="59" customWidth="1"/>
    <col min="5419" max="5419" width="9.28515625" style="59" bestFit="1" customWidth="1"/>
    <col min="5420" max="5632" width="9.140625" style="59"/>
    <col min="5633" max="5633" width="7.85546875" style="59" customWidth="1"/>
    <col min="5634" max="5634" width="12.140625" style="59" customWidth="1"/>
    <col min="5635" max="5635" width="6.28515625" style="59" customWidth="1"/>
    <col min="5636" max="5636" width="11.5703125" style="59" customWidth="1"/>
    <col min="5637" max="5637" width="7.85546875" style="59" customWidth="1"/>
    <col min="5638" max="5638" width="12.28515625" style="59" customWidth="1"/>
    <col min="5639" max="5639" width="5.28515625" style="59" customWidth="1"/>
    <col min="5640" max="5640" width="12.140625" style="59" bestFit="1" customWidth="1"/>
    <col min="5641" max="5641" width="5.7109375" style="59" customWidth="1"/>
    <col min="5642" max="5642" width="11.85546875" style="59" bestFit="1" customWidth="1"/>
    <col min="5643" max="5643" width="8" style="59" customWidth="1"/>
    <col min="5644" max="5644" width="12.5703125" style="59" customWidth="1"/>
    <col min="5645" max="5645" width="9" style="59" customWidth="1"/>
    <col min="5646" max="5646" width="11.7109375" style="59" bestFit="1" customWidth="1"/>
    <col min="5647" max="5647" width="9.42578125" style="59" customWidth="1"/>
    <col min="5648" max="5648" width="4.140625" style="59" customWidth="1"/>
    <col min="5649" max="5649" width="3.28515625" style="59" bestFit="1" customWidth="1"/>
    <col min="5650" max="5650" width="8.85546875" style="59" customWidth="1"/>
    <col min="5651" max="5651" width="10" style="59" bestFit="1" customWidth="1"/>
    <col min="5652" max="5653" width="9.42578125" style="59" customWidth="1"/>
    <col min="5654" max="5654" width="9.5703125" style="59" customWidth="1"/>
    <col min="5655" max="5655" width="9.85546875" style="59" customWidth="1"/>
    <col min="5656" max="5657" width="9.42578125" style="59" customWidth="1"/>
    <col min="5658" max="5658" width="9.85546875" style="59" customWidth="1"/>
    <col min="5659" max="5660" width="9.28515625" style="59" customWidth="1"/>
    <col min="5661" max="5661" width="9.85546875" style="59" customWidth="1"/>
    <col min="5662" max="5662" width="9.28515625" style="59" customWidth="1"/>
    <col min="5663" max="5663" width="10.42578125" style="59" customWidth="1"/>
    <col min="5664" max="5664" width="5.28515625" style="59" bestFit="1" customWidth="1"/>
    <col min="5665" max="5665" width="9.7109375" style="59" bestFit="1" customWidth="1"/>
    <col min="5666" max="5666" width="11" style="59" bestFit="1" customWidth="1"/>
    <col min="5667" max="5667" width="10.85546875" style="59" bestFit="1" customWidth="1"/>
    <col min="5668" max="5668" width="9.140625" style="59"/>
    <col min="5669" max="5669" width="3.85546875" style="59" bestFit="1" customWidth="1"/>
    <col min="5670" max="5670" width="7.28515625" style="59" bestFit="1" customWidth="1"/>
    <col min="5671" max="5673" width="9.140625" style="59"/>
    <col min="5674" max="5674" width="9.28515625" style="59" customWidth="1"/>
    <col min="5675" max="5675" width="9.28515625" style="59" bestFit="1" customWidth="1"/>
    <col min="5676" max="5888" width="9.140625" style="59"/>
    <col min="5889" max="5889" width="7.85546875" style="59" customWidth="1"/>
    <col min="5890" max="5890" width="12.140625" style="59" customWidth="1"/>
    <col min="5891" max="5891" width="6.28515625" style="59" customWidth="1"/>
    <col min="5892" max="5892" width="11.5703125" style="59" customWidth="1"/>
    <col min="5893" max="5893" width="7.85546875" style="59" customWidth="1"/>
    <col min="5894" max="5894" width="12.28515625" style="59" customWidth="1"/>
    <col min="5895" max="5895" width="5.28515625" style="59" customWidth="1"/>
    <col min="5896" max="5896" width="12.140625" style="59" bestFit="1" customWidth="1"/>
    <col min="5897" max="5897" width="5.7109375" style="59" customWidth="1"/>
    <col min="5898" max="5898" width="11.85546875" style="59" bestFit="1" customWidth="1"/>
    <col min="5899" max="5899" width="8" style="59" customWidth="1"/>
    <col min="5900" max="5900" width="12.5703125" style="59" customWidth="1"/>
    <col min="5901" max="5901" width="9" style="59" customWidth="1"/>
    <col min="5902" max="5902" width="11.7109375" style="59" bestFit="1" customWidth="1"/>
    <col min="5903" max="5903" width="9.42578125" style="59" customWidth="1"/>
    <col min="5904" max="5904" width="4.140625" style="59" customWidth="1"/>
    <col min="5905" max="5905" width="3.28515625" style="59" bestFit="1" customWidth="1"/>
    <col min="5906" max="5906" width="8.85546875" style="59" customWidth="1"/>
    <col min="5907" max="5907" width="10" style="59" bestFit="1" customWidth="1"/>
    <col min="5908" max="5909" width="9.42578125" style="59" customWidth="1"/>
    <col min="5910" max="5910" width="9.5703125" style="59" customWidth="1"/>
    <col min="5911" max="5911" width="9.85546875" style="59" customWidth="1"/>
    <col min="5912" max="5913" width="9.42578125" style="59" customWidth="1"/>
    <col min="5914" max="5914" width="9.85546875" style="59" customWidth="1"/>
    <col min="5915" max="5916" width="9.28515625" style="59" customWidth="1"/>
    <col min="5917" max="5917" width="9.85546875" style="59" customWidth="1"/>
    <col min="5918" max="5918" width="9.28515625" style="59" customWidth="1"/>
    <col min="5919" max="5919" width="10.42578125" style="59" customWidth="1"/>
    <col min="5920" max="5920" width="5.28515625" style="59" bestFit="1" customWidth="1"/>
    <col min="5921" max="5921" width="9.7109375" style="59" bestFit="1" customWidth="1"/>
    <col min="5922" max="5922" width="11" style="59" bestFit="1" customWidth="1"/>
    <col min="5923" max="5923" width="10.85546875" style="59" bestFit="1" customWidth="1"/>
    <col min="5924" max="5924" width="9.140625" style="59"/>
    <col min="5925" max="5925" width="3.85546875" style="59" bestFit="1" customWidth="1"/>
    <col min="5926" max="5926" width="7.28515625" style="59" bestFit="1" customWidth="1"/>
    <col min="5927" max="5929" width="9.140625" style="59"/>
    <col min="5930" max="5930" width="9.28515625" style="59" customWidth="1"/>
    <col min="5931" max="5931" width="9.28515625" style="59" bestFit="1" customWidth="1"/>
    <col min="5932" max="6144" width="9.140625" style="59"/>
    <col min="6145" max="6145" width="7.85546875" style="59" customWidth="1"/>
    <col min="6146" max="6146" width="12.140625" style="59" customWidth="1"/>
    <col min="6147" max="6147" width="6.28515625" style="59" customWidth="1"/>
    <col min="6148" max="6148" width="11.5703125" style="59" customWidth="1"/>
    <col min="6149" max="6149" width="7.85546875" style="59" customWidth="1"/>
    <col min="6150" max="6150" width="12.28515625" style="59" customWidth="1"/>
    <col min="6151" max="6151" width="5.28515625" style="59" customWidth="1"/>
    <col min="6152" max="6152" width="12.140625" style="59" bestFit="1" customWidth="1"/>
    <col min="6153" max="6153" width="5.7109375" style="59" customWidth="1"/>
    <col min="6154" max="6154" width="11.85546875" style="59" bestFit="1" customWidth="1"/>
    <col min="6155" max="6155" width="8" style="59" customWidth="1"/>
    <col min="6156" max="6156" width="12.5703125" style="59" customWidth="1"/>
    <col min="6157" max="6157" width="9" style="59" customWidth="1"/>
    <col min="6158" max="6158" width="11.7109375" style="59" bestFit="1" customWidth="1"/>
    <col min="6159" max="6159" width="9.42578125" style="59" customWidth="1"/>
    <col min="6160" max="6160" width="4.140625" style="59" customWidth="1"/>
    <col min="6161" max="6161" width="3.28515625" style="59" bestFit="1" customWidth="1"/>
    <col min="6162" max="6162" width="8.85546875" style="59" customWidth="1"/>
    <col min="6163" max="6163" width="10" style="59" bestFit="1" customWidth="1"/>
    <col min="6164" max="6165" width="9.42578125" style="59" customWidth="1"/>
    <col min="6166" max="6166" width="9.5703125" style="59" customWidth="1"/>
    <col min="6167" max="6167" width="9.85546875" style="59" customWidth="1"/>
    <col min="6168" max="6169" width="9.42578125" style="59" customWidth="1"/>
    <col min="6170" max="6170" width="9.85546875" style="59" customWidth="1"/>
    <col min="6171" max="6172" width="9.28515625" style="59" customWidth="1"/>
    <col min="6173" max="6173" width="9.85546875" style="59" customWidth="1"/>
    <col min="6174" max="6174" width="9.28515625" style="59" customWidth="1"/>
    <col min="6175" max="6175" width="10.42578125" style="59" customWidth="1"/>
    <col min="6176" max="6176" width="5.28515625" style="59" bestFit="1" customWidth="1"/>
    <col min="6177" max="6177" width="9.7109375" style="59" bestFit="1" customWidth="1"/>
    <col min="6178" max="6178" width="11" style="59" bestFit="1" customWidth="1"/>
    <col min="6179" max="6179" width="10.85546875" style="59" bestFit="1" customWidth="1"/>
    <col min="6180" max="6180" width="9.140625" style="59"/>
    <col min="6181" max="6181" width="3.85546875" style="59" bestFit="1" customWidth="1"/>
    <col min="6182" max="6182" width="7.28515625" style="59" bestFit="1" customWidth="1"/>
    <col min="6183" max="6185" width="9.140625" style="59"/>
    <col min="6186" max="6186" width="9.28515625" style="59" customWidth="1"/>
    <col min="6187" max="6187" width="9.28515625" style="59" bestFit="1" customWidth="1"/>
    <col min="6188" max="6400" width="9.140625" style="59"/>
    <col min="6401" max="6401" width="7.85546875" style="59" customWidth="1"/>
    <col min="6402" max="6402" width="12.140625" style="59" customWidth="1"/>
    <col min="6403" max="6403" width="6.28515625" style="59" customWidth="1"/>
    <col min="6404" max="6404" width="11.5703125" style="59" customWidth="1"/>
    <col min="6405" max="6405" width="7.85546875" style="59" customWidth="1"/>
    <col min="6406" max="6406" width="12.28515625" style="59" customWidth="1"/>
    <col min="6407" max="6407" width="5.28515625" style="59" customWidth="1"/>
    <col min="6408" max="6408" width="12.140625" style="59" bestFit="1" customWidth="1"/>
    <col min="6409" max="6409" width="5.7109375" style="59" customWidth="1"/>
    <col min="6410" max="6410" width="11.85546875" style="59" bestFit="1" customWidth="1"/>
    <col min="6411" max="6411" width="8" style="59" customWidth="1"/>
    <col min="6412" max="6412" width="12.5703125" style="59" customWidth="1"/>
    <col min="6413" max="6413" width="9" style="59" customWidth="1"/>
    <col min="6414" max="6414" width="11.7109375" style="59" bestFit="1" customWidth="1"/>
    <col min="6415" max="6415" width="9.42578125" style="59" customWidth="1"/>
    <col min="6416" max="6416" width="4.140625" style="59" customWidth="1"/>
    <col min="6417" max="6417" width="3.28515625" style="59" bestFit="1" customWidth="1"/>
    <col min="6418" max="6418" width="8.85546875" style="59" customWidth="1"/>
    <col min="6419" max="6419" width="10" style="59" bestFit="1" customWidth="1"/>
    <col min="6420" max="6421" width="9.42578125" style="59" customWidth="1"/>
    <col min="6422" max="6422" width="9.5703125" style="59" customWidth="1"/>
    <col min="6423" max="6423" width="9.85546875" style="59" customWidth="1"/>
    <col min="6424" max="6425" width="9.42578125" style="59" customWidth="1"/>
    <col min="6426" max="6426" width="9.85546875" style="59" customWidth="1"/>
    <col min="6427" max="6428" width="9.28515625" style="59" customWidth="1"/>
    <col min="6429" max="6429" width="9.85546875" style="59" customWidth="1"/>
    <col min="6430" max="6430" width="9.28515625" style="59" customWidth="1"/>
    <col min="6431" max="6431" width="10.42578125" style="59" customWidth="1"/>
    <col min="6432" max="6432" width="5.28515625" style="59" bestFit="1" customWidth="1"/>
    <col min="6433" max="6433" width="9.7109375" style="59" bestFit="1" customWidth="1"/>
    <col min="6434" max="6434" width="11" style="59" bestFit="1" customWidth="1"/>
    <col min="6435" max="6435" width="10.85546875" style="59" bestFit="1" customWidth="1"/>
    <col min="6436" max="6436" width="9.140625" style="59"/>
    <col min="6437" max="6437" width="3.85546875" style="59" bestFit="1" customWidth="1"/>
    <col min="6438" max="6438" width="7.28515625" style="59" bestFit="1" customWidth="1"/>
    <col min="6439" max="6441" width="9.140625" style="59"/>
    <col min="6442" max="6442" width="9.28515625" style="59" customWidth="1"/>
    <col min="6443" max="6443" width="9.28515625" style="59" bestFit="1" customWidth="1"/>
    <col min="6444" max="6656" width="9.140625" style="59"/>
    <col min="6657" max="6657" width="7.85546875" style="59" customWidth="1"/>
    <col min="6658" max="6658" width="12.140625" style="59" customWidth="1"/>
    <col min="6659" max="6659" width="6.28515625" style="59" customWidth="1"/>
    <col min="6660" max="6660" width="11.5703125" style="59" customWidth="1"/>
    <col min="6661" max="6661" width="7.85546875" style="59" customWidth="1"/>
    <col min="6662" max="6662" width="12.28515625" style="59" customWidth="1"/>
    <col min="6663" max="6663" width="5.28515625" style="59" customWidth="1"/>
    <col min="6664" max="6664" width="12.140625" style="59" bestFit="1" customWidth="1"/>
    <col min="6665" max="6665" width="5.7109375" style="59" customWidth="1"/>
    <col min="6666" max="6666" width="11.85546875" style="59" bestFit="1" customWidth="1"/>
    <col min="6667" max="6667" width="8" style="59" customWidth="1"/>
    <col min="6668" max="6668" width="12.5703125" style="59" customWidth="1"/>
    <col min="6669" max="6669" width="9" style="59" customWidth="1"/>
    <col min="6670" max="6670" width="11.7109375" style="59" bestFit="1" customWidth="1"/>
    <col min="6671" max="6671" width="9.42578125" style="59" customWidth="1"/>
    <col min="6672" max="6672" width="4.140625" style="59" customWidth="1"/>
    <col min="6673" max="6673" width="3.28515625" style="59" bestFit="1" customWidth="1"/>
    <col min="6674" max="6674" width="8.85546875" style="59" customWidth="1"/>
    <col min="6675" max="6675" width="10" style="59" bestFit="1" customWidth="1"/>
    <col min="6676" max="6677" width="9.42578125" style="59" customWidth="1"/>
    <col min="6678" max="6678" width="9.5703125" style="59" customWidth="1"/>
    <col min="6679" max="6679" width="9.85546875" style="59" customWidth="1"/>
    <col min="6680" max="6681" width="9.42578125" style="59" customWidth="1"/>
    <col min="6682" max="6682" width="9.85546875" style="59" customWidth="1"/>
    <col min="6683" max="6684" width="9.28515625" style="59" customWidth="1"/>
    <col min="6685" max="6685" width="9.85546875" style="59" customWidth="1"/>
    <col min="6686" max="6686" width="9.28515625" style="59" customWidth="1"/>
    <col min="6687" max="6687" width="10.42578125" style="59" customWidth="1"/>
    <col min="6688" max="6688" width="5.28515625" style="59" bestFit="1" customWidth="1"/>
    <col min="6689" max="6689" width="9.7109375" style="59" bestFit="1" customWidth="1"/>
    <col min="6690" max="6690" width="11" style="59" bestFit="1" customWidth="1"/>
    <col min="6691" max="6691" width="10.85546875" style="59" bestFit="1" customWidth="1"/>
    <col min="6692" max="6692" width="9.140625" style="59"/>
    <col min="6693" max="6693" width="3.85546875" style="59" bestFit="1" customWidth="1"/>
    <col min="6694" max="6694" width="7.28515625" style="59" bestFit="1" customWidth="1"/>
    <col min="6695" max="6697" width="9.140625" style="59"/>
    <col min="6698" max="6698" width="9.28515625" style="59" customWidth="1"/>
    <col min="6699" max="6699" width="9.28515625" style="59" bestFit="1" customWidth="1"/>
    <col min="6700" max="6912" width="9.140625" style="59"/>
    <col min="6913" max="6913" width="7.85546875" style="59" customWidth="1"/>
    <col min="6914" max="6914" width="12.140625" style="59" customWidth="1"/>
    <col min="6915" max="6915" width="6.28515625" style="59" customWidth="1"/>
    <col min="6916" max="6916" width="11.5703125" style="59" customWidth="1"/>
    <col min="6917" max="6917" width="7.85546875" style="59" customWidth="1"/>
    <col min="6918" max="6918" width="12.28515625" style="59" customWidth="1"/>
    <col min="6919" max="6919" width="5.28515625" style="59" customWidth="1"/>
    <col min="6920" max="6920" width="12.140625" style="59" bestFit="1" customWidth="1"/>
    <col min="6921" max="6921" width="5.7109375" style="59" customWidth="1"/>
    <col min="6922" max="6922" width="11.85546875" style="59" bestFit="1" customWidth="1"/>
    <col min="6923" max="6923" width="8" style="59" customWidth="1"/>
    <col min="6924" max="6924" width="12.5703125" style="59" customWidth="1"/>
    <col min="6925" max="6925" width="9" style="59" customWidth="1"/>
    <col min="6926" max="6926" width="11.7109375" style="59" bestFit="1" customWidth="1"/>
    <col min="6927" max="6927" width="9.42578125" style="59" customWidth="1"/>
    <col min="6928" max="6928" width="4.140625" style="59" customWidth="1"/>
    <col min="6929" max="6929" width="3.28515625" style="59" bestFit="1" customWidth="1"/>
    <col min="6930" max="6930" width="8.85546875" style="59" customWidth="1"/>
    <col min="6931" max="6931" width="10" style="59" bestFit="1" customWidth="1"/>
    <col min="6932" max="6933" width="9.42578125" style="59" customWidth="1"/>
    <col min="6934" max="6934" width="9.5703125" style="59" customWidth="1"/>
    <col min="6935" max="6935" width="9.85546875" style="59" customWidth="1"/>
    <col min="6936" max="6937" width="9.42578125" style="59" customWidth="1"/>
    <col min="6938" max="6938" width="9.85546875" style="59" customWidth="1"/>
    <col min="6939" max="6940" width="9.28515625" style="59" customWidth="1"/>
    <col min="6941" max="6941" width="9.85546875" style="59" customWidth="1"/>
    <col min="6942" max="6942" width="9.28515625" style="59" customWidth="1"/>
    <col min="6943" max="6943" width="10.42578125" style="59" customWidth="1"/>
    <col min="6944" max="6944" width="5.28515625" style="59" bestFit="1" customWidth="1"/>
    <col min="6945" max="6945" width="9.7109375" style="59" bestFit="1" customWidth="1"/>
    <col min="6946" max="6946" width="11" style="59" bestFit="1" customWidth="1"/>
    <col min="6947" max="6947" width="10.85546875" style="59" bestFit="1" customWidth="1"/>
    <col min="6948" max="6948" width="9.140625" style="59"/>
    <col min="6949" max="6949" width="3.85546875" style="59" bestFit="1" customWidth="1"/>
    <col min="6950" max="6950" width="7.28515625" style="59" bestFit="1" customWidth="1"/>
    <col min="6951" max="6953" width="9.140625" style="59"/>
    <col min="6954" max="6954" width="9.28515625" style="59" customWidth="1"/>
    <col min="6955" max="6955" width="9.28515625" style="59" bestFit="1" customWidth="1"/>
    <col min="6956" max="7168" width="9.140625" style="59"/>
    <col min="7169" max="7169" width="7.85546875" style="59" customWidth="1"/>
    <col min="7170" max="7170" width="12.140625" style="59" customWidth="1"/>
    <col min="7171" max="7171" width="6.28515625" style="59" customWidth="1"/>
    <col min="7172" max="7172" width="11.5703125" style="59" customWidth="1"/>
    <col min="7173" max="7173" width="7.85546875" style="59" customWidth="1"/>
    <col min="7174" max="7174" width="12.28515625" style="59" customWidth="1"/>
    <col min="7175" max="7175" width="5.28515625" style="59" customWidth="1"/>
    <col min="7176" max="7176" width="12.140625" style="59" bestFit="1" customWidth="1"/>
    <col min="7177" max="7177" width="5.7109375" style="59" customWidth="1"/>
    <col min="7178" max="7178" width="11.85546875" style="59" bestFit="1" customWidth="1"/>
    <col min="7179" max="7179" width="8" style="59" customWidth="1"/>
    <col min="7180" max="7180" width="12.5703125" style="59" customWidth="1"/>
    <col min="7181" max="7181" width="9" style="59" customWidth="1"/>
    <col min="7182" max="7182" width="11.7109375" style="59" bestFit="1" customWidth="1"/>
    <col min="7183" max="7183" width="9.42578125" style="59" customWidth="1"/>
    <col min="7184" max="7184" width="4.140625" style="59" customWidth="1"/>
    <col min="7185" max="7185" width="3.28515625" style="59" bestFit="1" customWidth="1"/>
    <col min="7186" max="7186" width="8.85546875" style="59" customWidth="1"/>
    <col min="7187" max="7187" width="10" style="59" bestFit="1" customWidth="1"/>
    <col min="7188" max="7189" width="9.42578125" style="59" customWidth="1"/>
    <col min="7190" max="7190" width="9.5703125" style="59" customWidth="1"/>
    <col min="7191" max="7191" width="9.85546875" style="59" customWidth="1"/>
    <col min="7192" max="7193" width="9.42578125" style="59" customWidth="1"/>
    <col min="7194" max="7194" width="9.85546875" style="59" customWidth="1"/>
    <col min="7195" max="7196" width="9.28515625" style="59" customWidth="1"/>
    <col min="7197" max="7197" width="9.85546875" style="59" customWidth="1"/>
    <col min="7198" max="7198" width="9.28515625" style="59" customWidth="1"/>
    <col min="7199" max="7199" width="10.42578125" style="59" customWidth="1"/>
    <col min="7200" max="7200" width="5.28515625" style="59" bestFit="1" customWidth="1"/>
    <col min="7201" max="7201" width="9.7109375" style="59" bestFit="1" customWidth="1"/>
    <col min="7202" max="7202" width="11" style="59" bestFit="1" customWidth="1"/>
    <col min="7203" max="7203" width="10.85546875" style="59" bestFit="1" customWidth="1"/>
    <col min="7204" max="7204" width="9.140625" style="59"/>
    <col min="7205" max="7205" width="3.85546875" style="59" bestFit="1" customWidth="1"/>
    <col min="7206" max="7206" width="7.28515625" style="59" bestFit="1" customWidth="1"/>
    <col min="7207" max="7209" width="9.140625" style="59"/>
    <col min="7210" max="7210" width="9.28515625" style="59" customWidth="1"/>
    <col min="7211" max="7211" width="9.28515625" style="59" bestFit="1" customWidth="1"/>
    <col min="7212" max="7424" width="9.140625" style="59"/>
    <col min="7425" max="7425" width="7.85546875" style="59" customWidth="1"/>
    <col min="7426" max="7426" width="12.140625" style="59" customWidth="1"/>
    <col min="7427" max="7427" width="6.28515625" style="59" customWidth="1"/>
    <col min="7428" max="7428" width="11.5703125" style="59" customWidth="1"/>
    <col min="7429" max="7429" width="7.85546875" style="59" customWidth="1"/>
    <col min="7430" max="7430" width="12.28515625" style="59" customWidth="1"/>
    <col min="7431" max="7431" width="5.28515625" style="59" customWidth="1"/>
    <col min="7432" max="7432" width="12.140625" style="59" bestFit="1" customWidth="1"/>
    <col min="7433" max="7433" width="5.7109375" style="59" customWidth="1"/>
    <col min="7434" max="7434" width="11.85546875" style="59" bestFit="1" customWidth="1"/>
    <col min="7435" max="7435" width="8" style="59" customWidth="1"/>
    <col min="7436" max="7436" width="12.5703125" style="59" customWidth="1"/>
    <col min="7437" max="7437" width="9" style="59" customWidth="1"/>
    <col min="7438" max="7438" width="11.7109375" style="59" bestFit="1" customWidth="1"/>
    <col min="7439" max="7439" width="9.42578125" style="59" customWidth="1"/>
    <col min="7440" max="7440" width="4.140625" style="59" customWidth="1"/>
    <col min="7441" max="7441" width="3.28515625" style="59" bestFit="1" customWidth="1"/>
    <col min="7442" max="7442" width="8.85546875" style="59" customWidth="1"/>
    <col min="7443" max="7443" width="10" style="59" bestFit="1" customWidth="1"/>
    <col min="7444" max="7445" width="9.42578125" style="59" customWidth="1"/>
    <col min="7446" max="7446" width="9.5703125" style="59" customWidth="1"/>
    <col min="7447" max="7447" width="9.85546875" style="59" customWidth="1"/>
    <col min="7448" max="7449" width="9.42578125" style="59" customWidth="1"/>
    <col min="7450" max="7450" width="9.85546875" style="59" customWidth="1"/>
    <col min="7451" max="7452" width="9.28515625" style="59" customWidth="1"/>
    <col min="7453" max="7453" width="9.85546875" style="59" customWidth="1"/>
    <col min="7454" max="7454" width="9.28515625" style="59" customWidth="1"/>
    <col min="7455" max="7455" width="10.42578125" style="59" customWidth="1"/>
    <col min="7456" max="7456" width="5.28515625" style="59" bestFit="1" customWidth="1"/>
    <col min="7457" max="7457" width="9.7109375" style="59" bestFit="1" customWidth="1"/>
    <col min="7458" max="7458" width="11" style="59" bestFit="1" customWidth="1"/>
    <col min="7459" max="7459" width="10.85546875" style="59" bestFit="1" customWidth="1"/>
    <col min="7460" max="7460" width="9.140625" style="59"/>
    <col min="7461" max="7461" width="3.85546875" style="59" bestFit="1" customWidth="1"/>
    <col min="7462" max="7462" width="7.28515625" style="59" bestFit="1" customWidth="1"/>
    <col min="7463" max="7465" width="9.140625" style="59"/>
    <col min="7466" max="7466" width="9.28515625" style="59" customWidth="1"/>
    <col min="7467" max="7467" width="9.28515625" style="59" bestFit="1" customWidth="1"/>
    <col min="7468" max="7680" width="9.140625" style="59"/>
    <col min="7681" max="7681" width="7.85546875" style="59" customWidth="1"/>
    <col min="7682" max="7682" width="12.140625" style="59" customWidth="1"/>
    <col min="7683" max="7683" width="6.28515625" style="59" customWidth="1"/>
    <col min="7684" max="7684" width="11.5703125" style="59" customWidth="1"/>
    <col min="7685" max="7685" width="7.85546875" style="59" customWidth="1"/>
    <col min="7686" max="7686" width="12.28515625" style="59" customWidth="1"/>
    <col min="7687" max="7687" width="5.28515625" style="59" customWidth="1"/>
    <col min="7688" max="7688" width="12.140625" style="59" bestFit="1" customWidth="1"/>
    <col min="7689" max="7689" width="5.7109375" style="59" customWidth="1"/>
    <col min="7690" max="7690" width="11.85546875" style="59" bestFit="1" customWidth="1"/>
    <col min="7691" max="7691" width="8" style="59" customWidth="1"/>
    <col min="7692" max="7692" width="12.5703125" style="59" customWidth="1"/>
    <col min="7693" max="7693" width="9" style="59" customWidth="1"/>
    <col min="7694" max="7694" width="11.7109375" style="59" bestFit="1" customWidth="1"/>
    <col min="7695" max="7695" width="9.42578125" style="59" customWidth="1"/>
    <col min="7696" max="7696" width="4.140625" style="59" customWidth="1"/>
    <col min="7697" max="7697" width="3.28515625" style="59" bestFit="1" customWidth="1"/>
    <col min="7698" max="7698" width="8.85546875" style="59" customWidth="1"/>
    <col min="7699" max="7699" width="10" style="59" bestFit="1" customWidth="1"/>
    <col min="7700" max="7701" width="9.42578125" style="59" customWidth="1"/>
    <col min="7702" max="7702" width="9.5703125" style="59" customWidth="1"/>
    <col min="7703" max="7703" width="9.85546875" style="59" customWidth="1"/>
    <col min="7704" max="7705" width="9.42578125" style="59" customWidth="1"/>
    <col min="7706" max="7706" width="9.85546875" style="59" customWidth="1"/>
    <col min="7707" max="7708" width="9.28515625" style="59" customWidth="1"/>
    <col min="7709" max="7709" width="9.85546875" style="59" customWidth="1"/>
    <col min="7710" max="7710" width="9.28515625" style="59" customWidth="1"/>
    <col min="7711" max="7711" width="10.42578125" style="59" customWidth="1"/>
    <col min="7712" max="7712" width="5.28515625" style="59" bestFit="1" customWidth="1"/>
    <col min="7713" max="7713" width="9.7109375" style="59" bestFit="1" customWidth="1"/>
    <col min="7714" max="7714" width="11" style="59" bestFit="1" customWidth="1"/>
    <col min="7715" max="7715" width="10.85546875" style="59" bestFit="1" customWidth="1"/>
    <col min="7716" max="7716" width="9.140625" style="59"/>
    <col min="7717" max="7717" width="3.85546875" style="59" bestFit="1" customWidth="1"/>
    <col min="7718" max="7718" width="7.28515625" style="59" bestFit="1" customWidth="1"/>
    <col min="7719" max="7721" width="9.140625" style="59"/>
    <col min="7722" max="7722" width="9.28515625" style="59" customWidth="1"/>
    <col min="7723" max="7723" width="9.28515625" style="59" bestFit="1" customWidth="1"/>
    <col min="7724" max="7936" width="9.140625" style="59"/>
    <col min="7937" max="7937" width="7.85546875" style="59" customWidth="1"/>
    <col min="7938" max="7938" width="12.140625" style="59" customWidth="1"/>
    <col min="7939" max="7939" width="6.28515625" style="59" customWidth="1"/>
    <col min="7940" max="7940" width="11.5703125" style="59" customWidth="1"/>
    <col min="7941" max="7941" width="7.85546875" style="59" customWidth="1"/>
    <col min="7942" max="7942" width="12.28515625" style="59" customWidth="1"/>
    <col min="7943" max="7943" width="5.28515625" style="59" customWidth="1"/>
    <col min="7944" max="7944" width="12.140625" style="59" bestFit="1" customWidth="1"/>
    <col min="7945" max="7945" width="5.7109375" style="59" customWidth="1"/>
    <col min="7946" max="7946" width="11.85546875" style="59" bestFit="1" customWidth="1"/>
    <col min="7947" max="7947" width="8" style="59" customWidth="1"/>
    <col min="7948" max="7948" width="12.5703125" style="59" customWidth="1"/>
    <col min="7949" max="7949" width="9" style="59" customWidth="1"/>
    <col min="7950" max="7950" width="11.7109375" style="59" bestFit="1" customWidth="1"/>
    <col min="7951" max="7951" width="9.42578125" style="59" customWidth="1"/>
    <col min="7952" max="7952" width="4.140625" style="59" customWidth="1"/>
    <col min="7953" max="7953" width="3.28515625" style="59" bestFit="1" customWidth="1"/>
    <col min="7954" max="7954" width="8.85546875" style="59" customWidth="1"/>
    <col min="7955" max="7955" width="10" style="59" bestFit="1" customWidth="1"/>
    <col min="7956" max="7957" width="9.42578125" style="59" customWidth="1"/>
    <col min="7958" max="7958" width="9.5703125" style="59" customWidth="1"/>
    <col min="7959" max="7959" width="9.85546875" style="59" customWidth="1"/>
    <col min="7960" max="7961" width="9.42578125" style="59" customWidth="1"/>
    <col min="7962" max="7962" width="9.85546875" style="59" customWidth="1"/>
    <col min="7963" max="7964" width="9.28515625" style="59" customWidth="1"/>
    <col min="7965" max="7965" width="9.85546875" style="59" customWidth="1"/>
    <col min="7966" max="7966" width="9.28515625" style="59" customWidth="1"/>
    <col min="7967" max="7967" width="10.42578125" style="59" customWidth="1"/>
    <col min="7968" max="7968" width="5.28515625" style="59" bestFit="1" customWidth="1"/>
    <col min="7969" max="7969" width="9.7109375" style="59" bestFit="1" customWidth="1"/>
    <col min="7970" max="7970" width="11" style="59" bestFit="1" customWidth="1"/>
    <col min="7971" max="7971" width="10.85546875" style="59" bestFit="1" customWidth="1"/>
    <col min="7972" max="7972" width="9.140625" style="59"/>
    <col min="7973" max="7973" width="3.85546875" style="59" bestFit="1" customWidth="1"/>
    <col min="7974" max="7974" width="7.28515625" style="59" bestFit="1" customWidth="1"/>
    <col min="7975" max="7977" width="9.140625" style="59"/>
    <col min="7978" max="7978" width="9.28515625" style="59" customWidth="1"/>
    <col min="7979" max="7979" width="9.28515625" style="59" bestFit="1" customWidth="1"/>
    <col min="7980" max="8192" width="9.140625" style="59"/>
    <col min="8193" max="8193" width="7.85546875" style="59" customWidth="1"/>
    <col min="8194" max="8194" width="12.140625" style="59" customWidth="1"/>
    <col min="8195" max="8195" width="6.28515625" style="59" customWidth="1"/>
    <col min="8196" max="8196" width="11.5703125" style="59" customWidth="1"/>
    <col min="8197" max="8197" width="7.85546875" style="59" customWidth="1"/>
    <col min="8198" max="8198" width="12.28515625" style="59" customWidth="1"/>
    <col min="8199" max="8199" width="5.28515625" style="59" customWidth="1"/>
    <col min="8200" max="8200" width="12.140625" style="59" bestFit="1" customWidth="1"/>
    <col min="8201" max="8201" width="5.7109375" style="59" customWidth="1"/>
    <col min="8202" max="8202" width="11.85546875" style="59" bestFit="1" customWidth="1"/>
    <col min="8203" max="8203" width="8" style="59" customWidth="1"/>
    <col min="8204" max="8204" width="12.5703125" style="59" customWidth="1"/>
    <col min="8205" max="8205" width="9" style="59" customWidth="1"/>
    <col min="8206" max="8206" width="11.7109375" style="59" bestFit="1" customWidth="1"/>
    <col min="8207" max="8207" width="9.42578125" style="59" customWidth="1"/>
    <col min="8208" max="8208" width="4.140625" style="59" customWidth="1"/>
    <col min="8209" max="8209" width="3.28515625" style="59" bestFit="1" customWidth="1"/>
    <col min="8210" max="8210" width="8.85546875" style="59" customWidth="1"/>
    <col min="8211" max="8211" width="10" style="59" bestFit="1" customWidth="1"/>
    <col min="8212" max="8213" width="9.42578125" style="59" customWidth="1"/>
    <col min="8214" max="8214" width="9.5703125" style="59" customWidth="1"/>
    <col min="8215" max="8215" width="9.85546875" style="59" customWidth="1"/>
    <col min="8216" max="8217" width="9.42578125" style="59" customWidth="1"/>
    <col min="8218" max="8218" width="9.85546875" style="59" customWidth="1"/>
    <col min="8219" max="8220" width="9.28515625" style="59" customWidth="1"/>
    <col min="8221" max="8221" width="9.85546875" style="59" customWidth="1"/>
    <col min="8222" max="8222" width="9.28515625" style="59" customWidth="1"/>
    <col min="8223" max="8223" width="10.42578125" style="59" customWidth="1"/>
    <col min="8224" max="8224" width="5.28515625" style="59" bestFit="1" customWidth="1"/>
    <col min="8225" max="8225" width="9.7109375" style="59" bestFit="1" customWidth="1"/>
    <col min="8226" max="8226" width="11" style="59" bestFit="1" customWidth="1"/>
    <col min="8227" max="8227" width="10.85546875" style="59" bestFit="1" customWidth="1"/>
    <col min="8228" max="8228" width="9.140625" style="59"/>
    <col min="8229" max="8229" width="3.85546875" style="59" bestFit="1" customWidth="1"/>
    <col min="8230" max="8230" width="7.28515625" style="59" bestFit="1" customWidth="1"/>
    <col min="8231" max="8233" width="9.140625" style="59"/>
    <col min="8234" max="8234" width="9.28515625" style="59" customWidth="1"/>
    <col min="8235" max="8235" width="9.28515625" style="59" bestFit="1" customWidth="1"/>
    <col min="8236" max="8448" width="9.140625" style="59"/>
    <col min="8449" max="8449" width="7.85546875" style="59" customWidth="1"/>
    <col min="8450" max="8450" width="12.140625" style="59" customWidth="1"/>
    <col min="8451" max="8451" width="6.28515625" style="59" customWidth="1"/>
    <col min="8452" max="8452" width="11.5703125" style="59" customWidth="1"/>
    <col min="8453" max="8453" width="7.85546875" style="59" customWidth="1"/>
    <col min="8454" max="8454" width="12.28515625" style="59" customWidth="1"/>
    <col min="8455" max="8455" width="5.28515625" style="59" customWidth="1"/>
    <col min="8456" max="8456" width="12.140625" style="59" bestFit="1" customWidth="1"/>
    <col min="8457" max="8457" width="5.7109375" style="59" customWidth="1"/>
    <col min="8458" max="8458" width="11.85546875" style="59" bestFit="1" customWidth="1"/>
    <col min="8459" max="8459" width="8" style="59" customWidth="1"/>
    <col min="8460" max="8460" width="12.5703125" style="59" customWidth="1"/>
    <col min="8461" max="8461" width="9" style="59" customWidth="1"/>
    <col min="8462" max="8462" width="11.7109375" style="59" bestFit="1" customWidth="1"/>
    <col min="8463" max="8463" width="9.42578125" style="59" customWidth="1"/>
    <col min="8464" max="8464" width="4.140625" style="59" customWidth="1"/>
    <col min="8465" max="8465" width="3.28515625" style="59" bestFit="1" customWidth="1"/>
    <col min="8466" max="8466" width="8.85546875" style="59" customWidth="1"/>
    <col min="8467" max="8467" width="10" style="59" bestFit="1" customWidth="1"/>
    <col min="8468" max="8469" width="9.42578125" style="59" customWidth="1"/>
    <col min="8470" max="8470" width="9.5703125" style="59" customWidth="1"/>
    <col min="8471" max="8471" width="9.85546875" style="59" customWidth="1"/>
    <col min="8472" max="8473" width="9.42578125" style="59" customWidth="1"/>
    <col min="8474" max="8474" width="9.85546875" style="59" customWidth="1"/>
    <col min="8475" max="8476" width="9.28515625" style="59" customWidth="1"/>
    <col min="8477" max="8477" width="9.85546875" style="59" customWidth="1"/>
    <col min="8478" max="8478" width="9.28515625" style="59" customWidth="1"/>
    <col min="8479" max="8479" width="10.42578125" style="59" customWidth="1"/>
    <col min="8480" max="8480" width="5.28515625" style="59" bestFit="1" customWidth="1"/>
    <col min="8481" max="8481" width="9.7109375" style="59" bestFit="1" customWidth="1"/>
    <col min="8482" max="8482" width="11" style="59" bestFit="1" customWidth="1"/>
    <col min="8483" max="8483" width="10.85546875" style="59" bestFit="1" customWidth="1"/>
    <col min="8484" max="8484" width="9.140625" style="59"/>
    <col min="8485" max="8485" width="3.85546875" style="59" bestFit="1" customWidth="1"/>
    <col min="8486" max="8486" width="7.28515625" style="59" bestFit="1" customWidth="1"/>
    <col min="8487" max="8489" width="9.140625" style="59"/>
    <col min="8490" max="8490" width="9.28515625" style="59" customWidth="1"/>
    <col min="8491" max="8491" width="9.28515625" style="59" bestFit="1" customWidth="1"/>
    <col min="8492" max="8704" width="9.140625" style="59"/>
    <col min="8705" max="8705" width="7.85546875" style="59" customWidth="1"/>
    <col min="8706" max="8706" width="12.140625" style="59" customWidth="1"/>
    <col min="8707" max="8707" width="6.28515625" style="59" customWidth="1"/>
    <col min="8708" max="8708" width="11.5703125" style="59" customWidth="1"/>
    <col min="8709" max="8709" width="7.85546875" style="59" customWidth="1"/>
    <col min="8710" max="8710" width="12.28515625" style="59" customWidth="1"/>
    <col min="8711" max="8711" width="5.28515625" style="59" customWidth="1"/>
    <col min="8712" max="8712" width="12.140625" style="59" bestFit="1" customWidth="1"/>
    <col min="8713" max="8713" width="5.7109375" style="59" customWidth="1"/>
    <col min="8714" max="8714" width="11.85546875" style="59" bestFit="1" customWidth="1"/>
    <col min="8715" max="8715" width="8" style="59" customWidth="1"/>
    <col min="8716" max="8716" width="12.5703125" style="59" customWidth="1"/>
    <col min="8717" max="8717" width="9" style="59" customWidth="1"/>
    <col min="8718" max="8718" width="11.7109375" style="59" bestFit="1" customWidth="1"/>
    <col min="8719" max="8719" width="9.42578125" style="59" customWidth="1"/>
    <col min="8720" max="8720" width="4.140625" style="59" customWidth="1"/>
    <col min="8721" max="8721" width="3.28515625" style="59" bestFit="1" customWidth="1"/>
    <col min="8722" max="8722" width="8.85546875" style="59" customWidth="1"/>
    <col min="8723" max="8723" width="10" style="59" bestFit="1" customWidth="1"/>
    <col min="8724" max="8725" width="9.42578125" style="59" customWidth="1"/>
    <col min="8726" max="8726" width="9.5703125" style="59" customWidth="1"/>
    <col min="8727" max="8727" width="9.85546875" style="59" customWidth="1"/>
    <col min="8728" max="8729" width="9.42578125" style="59" customWidth="1"/>
    <col min="8730" max="8730" width="9.85546875" style="59" customWidth="1"/>
    <col min="8731" max="8732" width="9.28515625" style="59" customWidth="1"/>
    <col min="8733" max="8733" width="9.85546875" style="59" customWidth="1"/>
    <col min="8734" max="8734" width="9.28515625" style="59" customWidth="1"/>
    <col min="8735" max="8735" width="10.42578125" style="59" customWidth="1"/>
    <col min="8736" max="8736" width="5.28515625" style="59" bestFit="1" customWidth="1"/>
    <col min="8737" max="8737" width="9.7109375" style="59" bestFit="1" customWidth="1"/>
    <col min="8738" max="8738" width="11" style="59" bestFit="1" customWidth="1"/>
    <col min="8739" max="8739" width="10.85546875" style="59" bestFit="1" customWidth="1"/>
    <col min="8740" max="8740" width="9.140625" style="59"/>
    <col min="8741" max="8741" width="3.85546875" style="59" bestFit="1" customWidth="1"/>
    <col min="8742" max="8742" width="7.28515625" style="59" bestFit="1" customWidth="1"/>
    <col min="8743" max="8745" width="9.140625" style="59"/>
    <col min="8746" max="8746" width="9.28515625" style="59" customWidth="1"/>
    <col min="8747" max="8747" width="9.28515625" style="59" bestFit="1" customWidth="1"/>
    <col min="8748" max="8960" width="9.140625" style="59"/>
    <col min="8961" max="8961" width="7.85546875" style="59" customWidth="1"/>
    <col min="8962" max="8962" width="12.140625" style="59" customWidth="1"/>
    <col min="8963" max="8963" width="6.28515625" style="59" customWidth="1"/>
    <col min="8964" max="8964" width="11.5703125" style="59" customWidth="1"/>
    <col min="8965" max="8965" width="7.85546875" style="59" customWidth="1"/>
    <col min="8966" max="8966" width="12.28515625" style="59" customWidth="1"/>
    <col min="8967" max="8967" width="5.28515625" style="59" customWidth="1"/>
    <col min="8968" max="8968" width="12.140625" style="59" bestFit="1" customWidth="1"/>
    <col min="8969" max="8969" width="5.7109375" style="59" customWidth="1"/>
    <col min="8970" max="8970" width="11.85546875" style="59" bestFit="1" customWidth="1"/>
    <col min="8971" max="8971" width="8" style="59" customWidth="1"/>
    <col min="8972" max="8972" width="12.5703125" style="59" customWidth="1"/>
    <col min="8973" max="8973" width="9" style="59" customWidth="1"/>
    <col min="8974" max="8974" width="11.7109375" style="59" bestFit="1" customWidth="1"/>
    <col min="8975" max="8975" width="9.42578125" style="59" customWidth="1"/>
    <col min="8976" max="8976" width="4.140625" style="59" customWidth="1"/>
    <col min="8977" max="8977" width="3.28515625" style="59" bestFit="1" customWidth="1"/>
    <col min="8978" max="8978" width="8.85546875" style="59" customWidth="1"/>
    <col min="8979" max="8979" width="10" style="59" bestFit="1" customWidth="1"/>
    <col min="8980" max="8981" width="9.42578125" style="59" customWidth="1"/>
    <col min="8982" max="8982" width="9.5703125" style="59" customWidth="1"/>
    <col min="8983" max="8983" width="9.85546875" style="59" customWidth="1"/>
    <col min="8984" max="8985" width="9.42578125" style="59" customWidth="1"/>
    <col min="8986" max="8986" width="9.85546875" style="59" customWidth="1"/>
    <col min="8987" max="8988" width="9.28515625" style="59" customWidth="1"/>
    <col min="8989" max="8989" width="9.85546875" style="59" customWidth="1"/>
    <col min="8990" max="8990" width="9.28515625" style="59" customWidth="1"/>
    <col min="8991" max="8991" width="10.42578125" style="59" customWidth="1"/>
    <col min="8992" max="8992" width="5.28515625" style="59" bestFit="1" customWidth="1"/>
    <col min="8993" max="8993" width="9.7109375" style="59" bestFit="1" customWidth="1"/>
    <col min="8994" max="8994" width="11" style="59" bestFit="1" customWidth="1"/>
    <col min="8995" max="8995" width="10.85546875" style="59" bestFit="1" customWidth="1"/>
    <col min="8996" max="8996" width="9.140625" style="59"/>
    <col min="8997" max="8997" width="3.85546875" style="59" bestFit="1" customWidth="1"/>
    <col min="8998" max="8998" width="7.28515625" style="59" bestFit="1" customWidth="1"/>
    <col min="8999" max="9001" width="9.140625" style="59"/>
    <col min="9002" max="9002" width="9.28515625" style="59" customWidth="1"/>
    <col min="9003" max="9003" width="9.28515625" style="59" bestFit="1" customWidth="1"/>
    <col min="9004" max="9216" width="9.140625" style="59"/>
    <col min="9217" max="9217" width="7.85546875" style="59" customWidth="1"/>
    <col min="9218" max="9218" width="12.140625" style="59" customWidth="1"/>
    <col min="9219" max="9219" width="6.28515625" style="59" customWidth="1"/>
    <col min="9220" max="9220" width="11.5703125" style="59" customWidth="1"/>
    <col min="9221" max="9221" width="7.85546875" style="59" customWidth="1"/>
    <col min="9222" max="9222" width="12.28515625" style="59" customWidth="1"/>
    <col min="9223" max="9223" width="5.28515625" style="59" customWidth="1"/>
    <col min="9224" max="9224" width="12.140625" style="59" bestFit="1" customWidth="1"/>
    <col min="9225" max="9225" width="5.7109375" style="59" customWidth="1"/>
    <col min="9226" max="9226" width="11.85546875" style="59" bestFit="1" customWidth="1"/>
    <col min="9227" max="9227" width="8" style="59" customWidth="1"/>
    <col min="9228" max="9228" width="12.5703125" style="59" customWidth="1"/>
    <col min="9229" max="9229" width="9" style="59" customWidth="1"/>
    <col min="9230" max="9230" width="11.7109375" style="59" bestFit="1" customWidth="1"/>
    <col min="9231" max="9231" width="9.42578125" style="59" customWidth="1"/>
    <col min="9232" max="9232" width="4.140625" style="59" customWidth="1"/>
    <col min="9233" max="9233" width="3.28515625" style="59" bestFit="1" customWidth="1"/>
    <col min="9234" max="9234" width="8.85546875" style="59" customWidth="1"/>
    <col min="9235" max="9235" width="10" style="59" bestFit="1" customWidth="1"/>
    <col min="9236" max="9237" width="9.42578125" style="59" customWidth="1"/>
    <col min="9238" max="9238" width="9.5703125" style="59" customWidth="1"/>
    <col min="9239" max="9239" width="9.85546875" style="59" customWidth="1"/>
    <col min="9240" max="9241" width="9.42578125" style="59" customWidth="1"/>
    <col min="9242" max="9242" width="9.85546875" style="59" customWidth="1"/>
    <col min="9243" max="9244" width="9.28515625" style="59" customWidth="1"/>
    <col min="9245" max="9245" width="9.85546875" style="59" customWidth="1"/>
    <col min="9246" max="9246" width="9.28515625" style="59" customWidth="1"/>
    <col min="9247" max="9247" width="10.42578125" style="59" customWidth="1"/>
    <col min="9248" max="9248" width="5.28515625" style="59" bestFit="1" customWidth="1"/>
    <col min="9249" max="9249" width="9.7109375" style="59" bestFit="1" customWidth="1"/>
    <col min="9250" max="9250" width="11" style="59" bestFit="1" customWidth="1"/>
    <col min="9251" max="9251" width="10.85546875" style="59" bestFit="1" customWidth="1"/>
    <col min="9252" max="9252" width="9.140625" style="59"/>
    <col min="9253" max="9253" width="3.85546875" style="59" bestFit="1" customWidth="1"/>
    <col min="9254" max="9254" width="7.28515625" style="59" bestFit="1" customWidth="1"/>
    <col min="9255" max="9257" width="9.140625" style="59"/>
    <col min="9258" max="9258" width="9.28515625" style="59" customWidth="1"/>
    <col min="9259" max="9259" width="9.28515625" style="59" bestFit="1" customWidth="1"/>
    <col min="9260" max="9472" width="9.140625" style="59"/>
    <col min="9473" max="9473" width="7.85546875" style="59" customWidth="1"/>
    <col min="9474" max="9474" width="12.140625" style="59" customWidth="1"/>
    <col min="9475" max="9475" width="6.28515625" style="59" customWidth="1"/>
    <col min="9476" max="9476" width="11.5703125" style="59" customWidth="1"/>
    <col min="9477" max="9477" width="7.85546875" style="59" customWidth="1"/>
    <col min="9478" max="9478" width="12.28515625" style="59" customWidth="1"/>
    <col min="9479" max="9479" width="5.28515625" style="59" customWidth="1"/>
    <col min="9480" max="9480" width="12.140625" style="59" bestFit="1" customWidth="1"/>
    <col min="9481" max="9481" width="5.7109375" style="59" customWidth="1"/>
    <col min="9482" max="9482" width="11.85546875" style="59" bestFit="1" customWidth="1"/>
    <col min="9483" max="9483" width="8" style="59" customWidth="1"/>
    <col min="9484" max="9484" width="12.5703125" style="59" customWidth="1"/>
    <col min="9485" max="9485" width="9" style="59" customWidth="1"/>
    <col min="9486" max="9486" width="11.7109375" style="59" bestFit="1" customWidth="1"/>
    <col min="9487" max="9487" width="9.42578125" style="59" customWidth="1"/>
    <col min="9488" max="9488" width="4.140625" style="59" customWidth="1"/>
    <col min="9489" max="9489" width="3.28515625" style="59" bestFit="1" customWidth="1"/>
    <col min="9490" max="9490" width="8.85546875" style="59" customWidth="1"/>
    <col min="9491" max="9491" width="10" style="59" bestFit="1" customWidth="1"/>
    <col min="9492" max="9493" width="9.42578125" style="59" customWidth="1"/>
    <col min="9494" max="9494" width="9.5703125" style="59" customWidth="1"/>
    <col min="9495" max="9495" width="9.85546875" style="59" customWidth="1"/>
    <col min="9496" max="9497" width="9.42578125" style="59" customWidth="1"/>
    <col min="9498" max="9498" width="9.85546875" style="59" customWidth="1"/>
    <col min="9499" max="9500" width="9.28515625" style="59" customWidth="1"/>
    <col min="9501" max="9501" width="9.85546875" style="59" customWidth="1"/>
    <col min="9502" max="9502" width="9.28515625" style="59" customWidth="1"/>
    <col min="9503" max="9503" width="10.42578125" style="59" customWidth="1"/>
    <col min="9504" max="9504" width="5.28515625" style="59" bestFit="1" customWidth="1"/>
    <col min="9505" max="9505" width="9.7109375" style="59" bestFit="1" customWidth="1"/>
    <col min="9506" max="9506" width="11" style="59" bestFit="1" customWidth="1"/>
    <col min="9507" max="9507" width="10.85546875" style="59" bestFit="1" customWidth="1"/>
    <col min="9508" max="9508" width="9.140625" style="59"/>
    <col min="9509" max="9509" width="3.85546875" style="59" bestFit="1" customWidth="1"/>
    <col min="9510" max="9510" width="7.28515625" style="59" bestFit="1" customWidth="1"/>
    <col min="9511" max="9513" width="9.140625" style="59"/>
    <col min="9514" max="9514" width="9.28515625" style="59" customWidth="1"/>
    <col min="9515" max="9515" width="9.28515625" style="59" bestFit="1" customWidth="1"/>
    <col min="9516" max="9728" width="9.140625" style="59"/>
    <col min="9729" max="9729" width="7.85546875" style="59" customWidth="1"/>
    <col min="9730" max="9730" width="12.140625" style="59" customWidth="1"/>
    <col min="9731" max="9731" width="6.28515625" style="59" customWidth="1"/>
    <col min="9732" max="9732" width="11.5703125" style="59" customWidth="1"/>
    <col min="9733" max="9733" width="7.85546875" style="59" customWidth="1"/>
    <col min="9734" max="9734" width="12.28515625" style="59" customWidth="1"/>
    <col min="9735" max="9735" width="5.28515625" style="59" customWidth="1"/>
    <col min="9736" max="9736" width="12.140625" style="59" bestFit="1" customWidth="1"/>
    <col min="9737" max="9737" width="5.7109375" style="59" customWidth="1"/>
    <col min="9738" max="9738" width="11.85546875" style="59" bestFit="1" customWidth="1"/>
    <col min="9739" max="9739" width="8" style="59" customWidth="1"/>
    <col min="9740" max="9740" width="12.5703125" style="59" customWidth="1"/>
    <col min="9741" max="9741" width="9" style="59" customWidth="1"/>
    <col min="9742" max="9742" width="11.7109375" style="59" bestFit="1" customWidth="1"/>
    <col min="9743" max="9743" width="9.42578125" style="59" customWidth="1"/>
    <col min="9744" max="9744" width="4.140625" style="59" customWidth="1"/>
    <col min="9745" max="9745" width="3.28515625" style="59" bestFit="1" customWidth="1"/>
    <col min="9746" max="9746" width="8.85546875" style="59" customWidth="1"/>
    <col min="9747" max="9747" width="10" style="59" bestFit="1" customWidth="1"/>
    <col min="9748" max="9749" width="9.42578125" style="59" customWidth="1"/>
    <col min="9750" max="9750" width="9.5703125" style="59" customWidth="1"/>
    <col min="9751" max="9751" width="9.85546875" style="59" customWidth="1"/>
    <col min="9752" max="9753" width="9.42578125" style="59" customWidth="1"/>
    <col min="9754" max="9754" width="9.85546875" style="59" customWidth="1"/>
    <col min="9755" max="9756" width="9.28515625" style="59" customWidth="1"/>
    <col min="9757" max="9757" width="9.85546875" style="59" customWidth="1"/>
    <col min="9758" max="9758" width="9.28515625" style="59" customWidth="1"/>
    <col min="9759" max="9759" width="10.42578125" style="59" customWidth="1"/>
    <col min="9760" max="9760" width="5.28515625" style="59" bestFit="1" customWidth="1"/>
    <col min="9761" max="9761" width="9.7109375" style="59" bestFit="1" customWidth="1"/>
    <col min="9762" max="9762" width="11" style="59" bestFit="1" customWidth="1"/>
    <col min="9763" max="9763" width="10.85546875" style="59" bestFit="1" customWidth="1"/>
    <col min="9764" max="9764" width="9.140625" style="59"/>
    <col min="9765" max="9765" width="3.85546875" style="59" bestFit="1" customWidth="1"/>
    <col min="9766" max="9766" width="7.28515625" style="59" bestFit="1" customWidth="1"/>
    <col min="9767" max="9769" width="9.140625" style="59"/>
    <col min="9770" max="9770" width="9.28515625" style="59" customWidth="1"/>
    <col min="9771" max="9771" width="9.28515625" style="59" bestFit="1" customWidth="1"/>
    <col min="9772" max="9984" width="9.140625" style="59"/>
    <col min="9985" max="9985" width="7.85546875" style="59" customWidth="1"/>
    <col min="9986" max="9986" width="12.140625" style="59" customWidth="1"/>
    <col min="9987" max="9987" width="6.28515625" style="59" customWidth="1"/>
    <col min="9988" max="9988" width="11.5703125" style="59" customWidth="1"/>
    <col min="9989" max="9989" width="7.85546875" style="59" customWidth="1"/>
    <col min="9990" max="9990" width="12.28515625" style="59" customWidth="1"/>
    <col min="9991" max="9991" width="5.28515625" style="59" customWidth="1"/>
    <col min="9992" max="9992" width="12.140625" style="59" bestFit="1" customWidth="1"/>
    <col min="9993" max="9993" width="5.7109375" style="59" customWidth="1"/>
    <col min="9994" max="9994" width="11.85546875" style="59" bestFit="1" customWidth="1"/>
    <col min="9995" max="9995" width="8" style="59" customWidth="1"/>
    <col min="9996" max="9996" width="12.5703125" style="59" customWidth="1"/>
    <col min="9997" max="9997" width="9" style="59" customWidth="1"/>
    <col min="9998" max="9998" width="11.7109375" style="59" bestFit="1" customWidth="1"/>
    <col min="9999" max="9999" width="9.42578125" style="59" customWidth="1"/>
    <col min="10000" max="10000" width="4.140625" style="59" customWidth="1"/>
    <col min="10001" max="10001" width="3.28515625" style="59" bestFit="1" customWidth="1"/>
    <col min="10002" max="10002" width="8.85546875" style="59" customWidth="1"/>
    <col min="10003" max="10003" width="10" style="59" bestFit="1" customWidth="1"/>
    <col min="10004" max="10005" width="9.42578125" style="59" customWidth="1"/>
    <col min="10006" max="10006" width="9.5703125" style="59" customWidth="1"/>
    <col min="10007" max="10007" width="9.85546875" style="59" customWidth="1"/>
    <col min="10008" max="10009" width="9.42578125" style="59" customWidth="1"/>
    <col min="10010" max="10010" width="9.85546875" style="59" customWidth="1"/>
    <col min="10011" max="10012" width="9.28515625" style="59" customWidth="1"/>
    <col min="10013" max="10013" width="9.85546875" style="59" customWidth="1"/>
    <col min="10014" max="10014" width="9.28515625" style="59" customWidth="1"/>
    <col min="10015" max="10015" width="10.42578125" style="59" customWidth="1"/>
    <col min="10016" max="10016" width="5.28515625" style="59" bestFit="1" customWidth="1"/>
    <col min="10017" max="10017" width="9.7109375" style="59" bestFit="1" customWidth="1"/>
    <col min="10018" max="10018" width="11" style="59" bestFit="1" customWidth="1"/>
    <col min="10019" max="10019" width="10.85546875" style="59" bestFit="1" customWidth="1"/>
    <col min="10020" max="10020" width="9.140625" style="59"/>
    <col min="10021" max="10021" width="3.85546875" style="59" bestFit="1" customWidth="1"/>
    <col min="10022" max="10022" width="7.28515625" style="59" bestFit="1" customWidth="1"/>
    <col min="10023" max="10025" width="9.140625" style="59"/>
    <col min="10026" max="10026" width="9.28515625" style="59" customWidth="1"/>
    <col min="10027" max="10027" width="9.28515625" style="59" bestFit="1" customWidth="1"/>
    <col min="10028" max="10240" width="9.140625" style="59"/>
    <col min="10241" max="10241" width="7.85546875" style="59" customWidth="1"/>
    <col min="10242" max="10242" width="12.140625" style="59" customWidth="1"/>
    <col min="10243" max="10243" width="6.28515625" style="59" customWidth="1"/>
    <col min="10244" max="10244" width="11.5703125" style="59" customWidth="1"/>
    <col min="10245" max="10245" width="7.85546875" style="59" customWidth="1"/>
    <col min="10246" max="10246" width="12.28515625" style="59" customWidth="1"/>
    <col min="10247" max="10247" width="5.28515625" style="59" customWidth="1"/>
    <col min="10248" max="10248" width="12.140625" style="59" bestFit="1" customWidth="1"/>
    <col min="10249" max="10249" width="5.7109375" style="59" customWidth="1"/>
    <col min="10250" max="10250" width="11.85546875" style="59" bestFit="1" customWidth="1"/>
    <col min="10251" max="10251" width="8" style="59" customWidth="1"/>
    <col min="10252" max="10252" width="12.5703125" style="59" customWidth="1"/>
    <col min="10253" max="10253" width="9" style="59" customWidth="1"/>
    <col min="10254" max="10254" width="11.7109375" style="59" bestFit="1" customWidth="1"/>
    <col min="10255" max="10255" width="9.42578125" style="59" customWidth="1"/>
    <col min="10256" max="10256" width="4.140625" style="59" customWidth="1"/>
    <col min="10257" max="10257" width="3.28515625" style="59" bestFit="1" customWidth="1"/>
    <col min="10258" max="10258" width="8.85546875" style="59" customWidth="1"/>
    <col min="10259" max="10259" width="10" style="59" bestFit="1" customWidth="1"/>
    <col min="10260" max="10261" width="9.42578125" style="59" customWidth="1"/>
    <col min="10262" max="10262" width="9.5703125" style="59" customWidth="1"/>
    <col min="10263" max="10263" width="9.85546875" style="59" customWidth="1"/>
    <col min="10264" max="10265" width="9.42578125" style="59" customWidth="1"/>
    <col min="10266" max="10266" width="9.85546875" style="59" customWidth="1"/>
    <col min="10267" max="10268" width="9.28515625" style="59" customWidth="1"/>
    <col min="10269" max="10269" width="9.85546875" style="59" customWidth="1"/>
    <col min="10270" max="10270" width="9.28515625" style="59" customWidth="1"/>
    <col min="10271" max="10271" width="10.42578125" style="59" customWidth="1"/>
    <col min="10272" max="10272" width="5.28515625" style="59" bestFit="1" customWidth="1"/>
    <col min="10273" max="10273" width="9.7109375" style="59" bestFit="1" customWidth="1"/>
    <col min="10274" max="10274" width="11" style="59" bestFit="1" customWidth="1"/>
    <col min="10275" max="10275" width="10.85546875" style="59" bestFit="1" customWidth="1"/>
    <col min="10276" max="10276" width="9.140625" style="59"/>
    <col min="10277" max="10277" width="3.85546875" style="59" bestFit="1" customWidth="1"/>
    <col min="10278" max="10278" width="7.28515625" style="59" bestFit="1" customWidth="1"/>
    <col min="10279" max="10281" width="9.140625" style="59"/>
    <col min="10282" max="10282" width="9.28515625" style="59" customWidth="1"/>
    <col min="10283" max="10283" width="9.28515625" style="59" bestFit="1" customWidth="1"/>
    <col min="10284" max="10496" width="9.140625" style="59"/>
    <col min="10497" max="10497" width="7.85546875" style="59" customWidth="1"/>
    <col min="10498" max="10498" width="12.140625" style="59" customWidth="1"/>
    <col min="10499" max="10499" width="6.28515625" style="59" customWidth="1"/>
    <col min="10500" max="10500" width="11.5703125" style="59" customWidth="1"/>
    <col min="10501" max="10501" width="7.85546875" style="59" customWidth="1"/>
    <col min="10502" max="10502" width="12.28515625" style="59" customWidth="1"/>
    <col min="10503" max="10503" width="5.28515625" style="59" customWidth="1"/>
    <col min="10504" max="10504" width="12.140625" style="59" bestFit="1" customWidth="1"/>
    <col min="10505" max="10505" width="5.7109375" style="59" customWidth="1"/>
    <col min="10506" max="10506" width="11.85546875" style="59" bestFit="1" customWidth="1"/>
    <col min="10507" max="10507" width="8" style="59" customWidth="1"/>
    <col min="10508" max="10508" width="12.5703125" style="59" customWidth="1"/>
    <col min="10509" max="10509" width="9" style="59" customWidth="1"/>
    <col min="10510" max="10510" width="11.7109375" style="59" bestFit="1" customWidth="1"/>
    <col min="10511" max="10511" width="9.42578125" style="59" customWidth="1"/>
    <col min="10512" max="10512" width="4.140625" style="59" customWidth="1"/>
    <col min="10513" max="10513" width="3.28515625" style="59" bestFit="1" customWidth="1"/>
    <col min="10514" max="10514" width="8.85546875" style="59" customWidth="1"/>
    <col min="10515" max="10515" width="10" style="59" bestFit="1" customWidth="1"/>
    <col min="10516" max="10517" width="9.42578125" style="59" customWidth="1"/>
    <col min="10518" max="10518" width="9.5703125" style="59" customWidth="1"/>
    <col min="10519" max="10519" width="9.85546875" style="59" customWidth="1"/>
    <col min="10520" max="10521" width="9.42578125" style="59" customWidth="1"/>
    <col min="10522" max="10522" width="9.85546875" style="59" customWidth="1"/>
    <col min="10523" max="10524" width="9.28515625" style="59" customWidth="1"/>
    <col min="10525" max="10525" width="9.85546875" style="59" customWidth="1"/>
    <col min="10526" max="10526" width="9.28515625" style="59" customWidth="1"/>
    <col min="10527" max="10527" width="10.42578125" style="59" customWidth="1"/>
    <col min="10528" max="10528" width="5.28515625" style="59" bestFit="1" customWidth="1"/>
    <col min="10529" max="10529" width="9.7109375" style="59" bestFit="1" customWidth="1"/>
    <col min="10530" max="10530" width="11" style="59" bestFit="1" customWidth="1"/>
    <col min="10531" max="10531" width="10.85546875" style="59" bestFit="1" customWidth="1"/>
    <col min="10532" max="10532" width="9.140625" style="59"/>
    <col min="10533" max="10533" width="3.85546875" style="59" bestFit="1" customWidth="1"/>
    <col min="10534" max="10534" width="7.28515625" style="59" bestFit="1" customWidth="1"/>
    <col min="10535" max="10537" width="9.140625" style="59"/>
    <col min="10538" max="10538" width="9.28515625" style="59" customWidth="1"/>
    <col min="10539" max="10539" width="9.28515625" style="59" bestFit="1" customWidth="1"/>
    <col min="10540" max="10752" width="9.140625" style="59"/>
    <col min="10753" max="10753" width="7.85546875" style="59" customWidth="1"/>
    <col min="10754" max="10754" width="12.140625" style="59" customWidth="1"/>
    <col min="10755" max="10755" width="6.28515625" style="59" customWidth="1"/>
    <col min="10756" max="10756" width="11.5703125" style="59" customWidth="1"/>
    <col min="10757" max="10757" width="7.85546875" style="59" customWidth="1"/>
    <col min="10758" max="10758" width="12.28515625" style="59" customWidth="1"/>
    <col min="10759" max="10759" width="5.28515625" style="59" customWidth="1"/>
    <col min="10760" max="10760" width="12.140625" style="59" bestFit="1" customWidth="1"/>
    <col min="10761" max="10761" width="5.7109375" style="59" customWidth="1"/>
    <col min="10762" max="10762" width="11.85546875" style="59" bestFit="1" customWidth="1"/>
    <col min="10763" max="10763" width="8" style="59" customWidth="1"/>
    <col min="10764" max="10764" width="12.5703125" style="59" customWidth="1"/>
    <col min="10765" max="10765" width="9" style="59" customWidth="1"/>
    <col min="10766" max="10766" width="11.7109375" style="59" bestFit="1" customWidth="1"/>
    <col min="10767" max="10767" width="9.42578125" style="59" customWidth="1"/>
    <col min="10768" max="10768" width="4.140625" style="59" customWidth="1"/>
    <col min="10769" max="10769" width="3.28515625" style="59" bestFit="1" customWidth="1"/>
    <col min="10770" max="10770" width="8.85546875" style="59" customWidth="1"/>
    <col min="10771" max="10771" width="10" style="59" bestFit="1" customWidth="1"/>
    <col min="10772" max="10773" width="9.42578125" style="59" customWidth="1"/>
    <col min="10774" max="10774" width="9.5703125" style="59" customWidth="1"/>
    <col min="10775" max="10775" width="9.85546875" style="59" customWidth="1"/>
    <col min="10776" max="10777" width="9.42578125" style="59" customWidth="1"/>
    <col min="10778" max="10778" width="9.85546875" style="59" customWidth="1"/>
    <col min="10779" max="10780" width="9.28515625" style="59" customWidth="1"/>
    <col min="10781" max="10781" width="9.85546875" style="59" customWidth="1"/>
    <col min="10782" max="10782" width="9.28515625" style="59" customWidth="1"/>
    <col min="10783" max="10783" width="10.42578125" style="59" customWidth="1"/>
    <col min="10784" max="10784" width="5.28515625" style="59" bestFit="1" customWidth="1"/>
    <col min="10785" max="10785" width="9.7109375" style="59" bestFit="1" customWidth="1"/>
    <col min="10786" max="10786" width="11" style="59" bestFit="1" customWidth="1"/>
    <col min="10787" max="10787" width="10.85546875" style="59" bestFit="1" customWidth="1"/>
    <col min="10788" max="10788" width="9.140625" style="59"/>
    <col min="10789" max="10789" width="3.85546875" style="59" bestFit="1" customWidth="1"/>
    <col min="10790" max="10790" width="7.28515625" style="59" bestFit="1" customWidth="1"/>
    <col min="10791" max="10793" width="9.140625" style="59"/>
    <col min="10794" max="10794" width="9.28515625" style="59" customWidth="1"/>
    <col min="10795" max="10795" width="9.28515625" style="59" bestFit="1" customWidth="1"/>
    <col min="10796" max="11008" width="9.140625" style="59"/>
    <col min="11009" max="11009" width="7.85546875" style="59" customWidth="1"/>
    <col min="11010" max="11010" width="12.140625" style="59" customWidth="1"/>
    <col min="11011" max="11011" width="6.28515625" style="59" customWidth="1"/>
    <col min="11012" max="11012" width="11.5703125" style="59" customWidth="1"/>
    <col min="11013" max="11013" width="7.85546875" style="59" customWidth="1"/>
    <col min="11014" max="11014" width="12.28515625" style="59" customWidth="1"/>
    <col min="11015" max="11015" width="5.28515625" style="59" customWidth="1"/>
    <col min="11016" max="11016" width="12.140625" style="59" bestFit="1" customWidth="1"/>
    <col min="11017" max="11017" width="5.7109375" style="59" customWidth="1"/>
    <col min="11018" max="11018" width="11.85546875" style="59" bestFit="1" customWidth="1"/>
    <col min="11019" max="11019" width="8" style="59" customWidth="1"/>
    <col min="11020" max="11020" width="12.5703125" style="59" customWidth="1"/>
    <col min="11021" max="11021" width="9" style="59" customWidth="1"/>
    <col min="11022" max="11022" width="11.7109375" style="59" bestFit="1" customWidth="1"/>
    <col min="11023" max="11023" width="9.42578125" style="59" customWidth="1"/>
    <col min="11024" max="11024" width="4.140625" style="59" customWidth="1"/>
    <col min="11025" max="11025" width="3.28515625" style="59" bestFit="1" customWidth="1"/>
    <col min="11026" max="11026" width="8.85546875" style="59" customWidth="1"/>
    <col min="11027" max="11027" width="10" style="59" bestFit="1" customWidth="1"/>
    <col min="11028" max="11029" width="9.42578125" style="59" customWidth="1"/>
    <col min="11030" max="11030" width="9.5703125" style="59" customWidth="1"/>
    <col min="11031" max="11031" width="9.85546875" style="59" customWidth="1"/>
    <col min="11032" max="11033" width="9.42578125" style="59" customWidth="1"/>
    <col min="11034" max="11034" width="9.85546875" style="59" customWidth="1"/>
    <col min="11035" max="11036" width="9.28515625" style="59" customWidth="1"/>
    <col min="11037" max="11037" width="9.85546875" style="59" customWidth="1"/>
    <col min="11038" max="11038" width="9.28515625" style="59" customWidth="1"/>
    <col min="11039" max="11039" width="10.42578125" style="59" customWidth="1"/>
    <col min="11040" max="11040" width="5.28515625" style="59" bestFit="1" customWidth="1"/>
    <col min="11041" max="11041" width="9.7109375" style="59" bestFit="1" customWidth="1"/>
    <col min="11042" max="11042" width="11" style="59" bestFit="1" customWidth="1"/>
    <col min="11043" max="11043" width="10.85546875" style="59" bestFit="1" customWidth="1"/>
    <col min="11044" max="11044" width="9.140625" style="59"/>
    <col min="11045" max="11045" width="3.85546875" style="59" bestFit="1" customWidth="1"/>
    <col min="11046" max="11046" width="7.28515625" style="59" bestFit="1" customWidth="1"/>
    <col min="11047" max="11049" width="9.140625" style="59"/>
    <col min="11050" max="11050" width="9.28515625" style="59" customWidth="1"/>
    <col min="11051" max="11051" width="9.28515625" style="59" bestFit="1" customWidth="1"/>
    <col min="11052" max="11264" width="9.140625" style="59"/>
    <col min="11265" max="11265" width="7.85546875" style="59" customWidth="1"/>
    <col min="11266" max="11266" width="12.140625" style="59" customWidth="1"/>
    <col min="11267" max="11267" width="6.28515625" style="59" customWidth="1"/>
    <col min="11268" max="11268" width="11.5703125" style="59" customWidth="1"/>
    <col min="11269" max="11269" width="7.85546875" style="59" customWidth="1"/>
    <col min="11270" max="11270" width="12.28515625" style="59" customWidth="1"/>
    <col min="11271" max="11271" width="5.28515625" style="59" customWidth="1"/>
    <col min="11272" max="11272" width="12.140625" style="59" bestFit="1" customWidth="1"/>
    <col min="11273" max="11273" width="5.7109375" style="59" customWidth="1"/>
    <col min="11274" max="11274" width="11.85546875" style="59" bestFit="1" customWidth="1"/>
    <col min="11275" max="11275" width="8" style="59" customWidth="1"/>
    <col min="11276" max="11276" width="12.5703125" style="59" customWidth="1"/>
    <col min="11277" max="11277" width="9" style="59" customWidth="1"/>
    <col min="11278" max="11278" width="11.7109375" style="59" bestFit="1" customWidth="1"/>
    <col min="11279" max="11279" width="9.42578125" style="59" customWidth="1"/>
    <col min="11280" max="11280" width="4.140625" style="59" customWidth="1"/>
    <col min="11281" max="11281" width="3.28515625" style="59" bestFit="1" customWidth="1"/>
    <col min="11282" max="11282" width="8.85546875" style="59" customWidth="1"/>
    <col min="11283" max="11283" width="10" style="59" bestFit="1" customWidth="1"/>
    <col min="11284" max="11285" width="9.42578125" style="59" customWidth="1"/>
    <col min="11286" max="11286" width="9.5703125" style="59" customWidth="1"/>
    <col min="11287" max="11287" width="9.85546875" style="59" customWidth="1"/>
    <col min="11288" max="11289" width="9.42578125" style="59" customWidth="1"/>
    <col min="11290" max="11290" width="9.85546875" style="59" customWidth="1"/>
    <col min="11291" max="11292" width="9.28515625" style="59" customWidth="1"/>
    <col min="11293" max="11293" width="9.85546875" style="59" customWidth="1"/>
    <col min="11294" max="11294" width="9.28515625" style="59" customWidth="1"/>
    <col min="11295" max="11295" width="10.42578125" style="59" customWidth="1"/>
    <col min="11296" max="11296" width="5.28515625" style="59" bestFit="1" customWidth="1"/>
    <col min="11297" max="11297" width="9.7109375" style="59" bestFit="1" customWidth="1"/>
    <col min="11298" max="11298" width="11" style="59" bestFit="1" customWidth="1"/>
    <col min="11299" max="11299" width="10.85546875" style="59" bestFit="1" customWidth="1"/>
    <col min="11300" max="11300" width="9.140625" style="59"/>
    <col min="11301" max="11301" width="3.85546875" style="59" bestFit="1" customWidth="1"/>
    <col min="11302" max="11302" width="7.28515625" style="59" bestFit="1" customWidth="1"/>
    <col min="11303" max="11305" width="9.140625" style="59"/>
    <col min="11306" max="11306" width="9.28515625" style="59" customWidth="1"/>
    <col min="11307" max="11307" width="9.28515625" style="59" bestFit="1" customWidth="1"/>
    <col min="11308" max="11520" width="9.140625" style="59"/>
    <col min="11521" max="11521" width="7.85546875" style="59" customWidth="1"/>
    <col min="11522" max="11522" width="12.140625" style="59" customWidth="1"/>
    <col min="11523" max="11523" width="6.28515625" style="59" customWidth="1"/>
    <col min="11524" max="11524" width="11.5703125" style="59" customWidth="1"/>
    <col min="11525" max="11525" width="7.85546875" style="59" customWidth="1"/>
    <col min="11526" max="11526" width="12.28515625" style="59" customWidth="1"/>
    <col min="11527" max="11527" width="5.28515625" style="59" customWidth="1"/>
    <col min="11528" max="11528" width="12.140625" style="59" bestFit="1" customWidth="1"/>
    <col min="11529" max="11529" width="5.7109375" style="59" customWidth="1"/>
    <col min="11530" max="11530" width="11.85546875" style="59" bestFit="1" customWidth="1"/>
    <col min="11531" max="11531" width="8" style="59" customWidth="1"/>
    <col min="11532" max="11532" width="12.5703125" style="59" customWidth="1"/>
    <col min="11533" max="11533" width="9" style="59" customWidth="1"/>
    <col min="11534" max="11534" width="11.7109375" style="59" bestFit="1" customWidth="1"/>
    <col min="11535" max="11535" width="9.42578125" style="59" customWidth="1"/>
    <col min="11536" max="11536" width="4.140625" style="59" customWidth="1"/>
    <col min="11537" max="11537" width="3.28515625" style="59" bestFit="1" customWidth="1"/>
    <col min="11538" max="11538" width="8.85546875" style="59" customWidth="1"/>
    <col min="11539" max="11539" width="10" style="59" bestFit="1" customWidth="1"/>
    <col min="11540" max="11541" width="9.42578125" style="59" customWidth="1"/>
    <col min="11542" max="11542" width="9.5703125" style="59" customWidth="1"/>
    <col min="11543" max="11543" width="9.85546875" style="59" customWidth="1"/>
    <col min="11544" max="11545" width="9.42578125" style="59" customWidth="1"/>
    <col min="11546" max="11546" width="9.85546875" style="59" customWidth="1"/>
    <col min="11547" max="11548" width="9.28515625" style="59" customWidth="1"/>
    <col min="11549" max="11549" width="9.85546875" style="59" customWidth="1"/>
    <col min="11550" max="11550" width="9.28515625" style="59" customWidth="1"/>
    <col min="11551" max="11551" width="10.42578125" style="59" customWidth="1"/>
    <col min="11552" max="11552" width="5.28515625" style="59" bestFit="1" customWidth="1"/>
    <col min="11553" max="11553" width="9.7109375" style="59" bestFit="1" customWidth="1"/>
    <col min="11554" max="11554" width="11" style="59" bestFit="1" customWidth="1"/>
    <col min="11555" max="11555" width="10.85546875" style="59" bestFit="1" customWidth="1"/>
    <col min="11556" max="11556" width="9.140625" style="59"/>
    <col min="11557" max="11557" width="3.85546875" style="59" bestFit="1" customWidth="1"/>
    <col min="11558" max="11558" width="7.28515625" style="59" bestFit="1" customWidth="1"/>
    <col min="11559" max="11561" width="9.140625" style="59"/>
    <col min="11562" max="11562" width="9.28515625" style="59" customWidth="1"/>
    <col min="11563" max="11563" width="9.28515625" style="59" bestFit="1" customWidth="1"/>
    <col min="11564" max="11776" width="9.140625" style="59"/>
    <col min="11777" max="11777" width="7.85546875" style="59" customWidth="1"/>
    <col min="11778" max="11778" width="12.140625" style="59" customWidth="1"/>
    <col min="11779" max="11779" width="6.28515625" style="59" customWidth="1"/>
    <col min="11780" max="11780" width="11.5703125" style="59" customWidth="1"/>
    <col min="11781" max="11781" width="7.85546875" style="59" customWidth="1"/>
    <col min="11782" max="11782" width="12.28515625" style="59" customWidth="1"/>
    <col min="11783" max="11783" width="5.28515625" style="59" customWidth="1"/>
    <col min="11784" max="11784" width="12.140625" style="59" bestFit="1" customWidth="1"/>
    <col min="11785" max="11785" width="5.7109375" style="59" customWidth="1"/>
    <col min="11786" max="11786" width="11.85546875" style="59" bestFit="1" customWidth="1"/>
    <col min="11787" max="11787" width="8" style="59" customWidth="1"/>
    <col min="11788" max="11788" width="12.5703125" style="59" customWidth="1"/>
    <col min="11789" max="11789" width="9" style="59" customWidth="1"/>
    <col min="11790" max="11790" width="11.7109375" style="59" bestFit="1" customWidth="1"/>
    <col min="11791" max="11791" width="9.42578125" style="59" customWidth="1"/>
    <col min="11792" max="11792" width="4.140625" style="59" customWidth="1"/>
    <col min="11793" max="11793" width="3.28515625" style="59" bestFit="1" customWidth="1"/>
    <col min="11794" max="11794" width="8.85546875" style="59" customWidth="1"/>
    <col min="11795" max="11795" width="10" style="59" bestFit="1" customWidth="1"/>
    <col min="11796" max="11797" width="9.42578125" style="59" customWidth="1"/>
    <col min="11798" max="11798" width="9.5703125" style="59" customWidth="1"/>
    <col min="11799" max="11799" width="9.85546875" style="59" customWidth="1"/>
    <col min="11800" max="11801" width="9.42578125" style="59" customWidth="1"/>
    <col min="11802" max="11802" width="9.85546875" style="59" customWidth="1"/>
    <col min="11803" max="11804" width="9.28515625" style="59" customWidth="1"/>
    <col min="11805" max="11805" width="9.85546875" style="59" customWidth="1"/>
    <col min="11806" max="11806" width="9.28515625" style="59" customWidth="1"/>
    <col min="11807" max="11807" width="10.42578125" style="59" customWidth="1"/>
    <col min="11808" max="11808" width="5.28515625" style="59" bestFit="1" customWidth="1"/>
    <col min="11809" max="11809" width="9.7109375" style="59" bestFit="1" customWidth="1"/>
    <col min="11810" max="11810" width="11" style="59" bestFit="1" customWidth="1"/>
    <col min="11811" max="11811" width="10.85546875" style="59" bestFit="1" customWidth="1"/>
    <col min="11812" max="11812" width="9.140625" style="59"/>
    <col min="11813" max="11813" width="3.85546875" style="59" bestFit="1" customWidth="1"/>
    <col min="11814" max="11814" width="7.28515625" style="59" bestFit="1" customWidth="1"/>
    <col min="11815" max="11817" width="9.140625" style="59"/>
    <col min="11818" max="11818" width="9.28515625" style="59" customWidth="1"/>
    <col min="11819" max="11819" width="9.28515625" style="59" bestFit="1" customWidth="1"/>
    <col min="11820" max="12032" width="9.140625" style="59"/>
    <col min="12033" max="12033" width="7.85546875" style="59" customWidth="1"/>
    <col min="12034" max="12034" width="12.140625" style="59" customWidth="1"/>
    <col min="12035" max="12035" width="6.28515625" style="59" customWidth="1"/>
    <col min="12036" max="12036" width="11.5703125" style="59" customWidth="1"/>
    <col min="12037" max="12037" width="7.85546875" style="59" customWidth="1"/>
    <col min="12038" max="12038" width="12.28515625" style="59" customWidth="1"/>
    <col min="12039" max="12039" width="5.28515625" style="59" customWidth="1"/>
    <col min="12040" max="12040" width="12.140625" style="59" bestFit="1" customWidth="1"/>
    <col min="12041" max="12041" width="5.7109375" style="59" customWidth="1"/>
    <col min="12042" max="12042" width="11.85546875" style="59" bestFit="1" customWidth="1"/>
    <col min="12043" max="12043" width="8" style="59" customWidth="1"/>
    <col min="12044" max="12044" width="12.5703125" style="59" customWidth="1"/>
    <col min="12045" max="12045" width="9" style="59" customWidth="1"/>
    <col min="12046" max="12046" width="11.7109375" style="59" bestFit="1" customWidth="1"/>
    <col min="12047" max="12047" width="9.42578125" style="59" customWidth="1"/>
    <col min="12048" max="12048" width="4.140625" style="59" customWidth="1"/>
    <col min="12049" max="12049" width="3.28515625" style="59" bestFit="1" customWidth="1"/>
    <col min="12050" max="12050" width="8.85546875" style="59" customWidth="1"/>
    <col min="12051" max="12051" width="10" style="59" bestFit="1" customWidth="1"/>
    <col min="12052" max="12053" width="9.42578125" style="59" customWidth="1"/>
    <col min="12054" max="12054" width="9.5703125" style="59" customWidth="1"/>
    <col min="12055" max="12055" width="9.85546875" style="59" customWidth="1"/>
    <col min="12056" max="12057" width="9.42578125" style="59" customWidth="1"/>
    <col min="12058" max="12058" width="9.85546875" style="59" customWidth="1"/>
    <col min="12059" max="12060" width="9.28515625" style="59" customWidth="1"/>
    <col min="12061" max="12061" width="9.85546875" style="59" customWidth="1"/>
    <col min="12062" max="12062" width="9.28515625" style="59" customWidth="1"/>
    <col min="12063" max="12063" width="10.42578125" style="59" customWidth="1"/>
    <col min="12064" max="12064" width="5.28515625" style="59" bestFit="1" customWidth="1"/>
    <col min="12065" max="12065" width="9.7109375" style="59" bestFit="1" customWidth="1"/>
    <col min="12066" max="12066" width="11" style="59" bestFit="1" customWidth="1"/>
    <col min="12067" max="12067" width="10.85546875" style="59" bestFit="1" customWidth="1"/>
    <col min="12068" max="12068" width="9.140625" style="59"/>
    <col min="12069" max="12069" width="3.85546875" style="59" bestFit="1" customWidth="1"/>
    <col min="12070" max="12070" width="7.28515625" style="59" bestFit="1" customWidth="1"/>
    <col min="12071" max="12073" width="9.140625" style="59"/>
    <col min="12074" max="12074" width="9.28515625" style="59" customWidth="1"/>
    <col min="12075" max="12075" width="9.28515625" style="59" bestFit="1" customWidth="1"/>
    <col min="12076" max="12288" width="9.140625" style="59"/>
    <col min="12289" max="12289" width="7.85546875" style="59" customWidth="1"/>
    <col min="12290" max="12290" width="12.140625" style="59" customWidth="1"/>
    <col min="12291" max="12291" width="6.28515625" style="59" customWidth="1"/>
    <col min="12292" max="12292" width="11.5703125" style="59" customWidth="1"/>
    <col min="12293" max="12293" width="7.85546875" style="59" customWidth="1"/>
    <col min="12294" max="12294" width="12.28515625" style="59" customWidth="1"/>
    <col min="12295" max="12295" width="5.28515625" style="59" customWidth="1"/>
    <col min="12296" max="12296" width="12.140625" style="59" bestFit="1" customWidth="1"/>
    <col min="12297" max="12297" width="5.7109375" style="59" customWidth="1"/>
    <col min="12298" max="12298" width="11.85546875" style="59" bestFit="1" customWidth="1"/>
    <col min="12299" max="12299" width="8" style="59" customWidth="1"/>
    <col min="12300" max="12300" width="12.5703125" style="59" customWidth="1"/>
    <col min="12301" max="12301" width="9" style="59" customWidth="1"/>
    <col min="12302" max="12302" width="11.7109375" style="59" bestFit="1" customWidth="1"/>
    <col min="12303" max="12303" width="9.42578125" style="59" customWidth="1"/>
    <col min="12304" max="12304" width="4.140625" style="59" customWidth="1"/>
    <col min="12305" max="12305" width="3.28515625" style="59" bestFit="1" customWidth="1"/>
    <col min="12306" max="12306" width="8.85546875" style="59" customWidth="1"/>
    <col min="12307" max="12307" width="10" style="59" bestFit="1" customWidth="1"/>
    <col min="12308" max="12309" width="9.42578125" style="59" customWidth="1"/>
    <col min="12310" max="12310" width="9.5703125" style="59" customWidth="1"/>
    <col min="12311" max="12311" width="9.85546875" style="59" customWidth="1"/>
    <col min="12312" max="12313" width="9.42578125" style="59" customWidth="1"/>
    <col min="12314" max="12314" width="9.85546875" style="59" customWidth="1"/>
    <col min="12315" max="12316" width="9.28515625" style="59" customWidth="1"/>
    <col min="12317" max="12317" width="9.85546875" style="59" customWidth="1"/>
    <col min="12318" max="12318" width="9.28515625" style="59" customWidth="1"/>
    <col min="12319" max="12319" width="10.42578125" style="59" customWidth="1"/>
    <col min="12320" max="12320" width="5.28515625" style="59" bestFit="1" customWidth="1"/>
    <col min="12321" max="12321" width="9.7109375" style="59" bestFit="1" customWidth="1"/>
    <col min="12322" max="12322" width="11" style="59" bestFit="1" customWidth="1"/>
    <col min="12323" max="12323" width="10.85546875" style="59" bestFit="1" customWidth="1"/>
    <col min="12324" max="12324" width="9.140625" style="59"/>
    <col min="12325" max="12325" width="3.85546875" style="59" bestFit="1" customWidth="1"/>
    <col min="12326" max="12326" width="7.28515625" style="59" bestFit="1" customWidth="1"/>
    <col min="12327" max="12329" width="9.140625" style="59"/>
    <col min="12330" max="12330" width="9.28515625" style="59" customWidth="1"/>
    <col min="12331" max="12331" width="9.28515625" style="59" bestFit="1" customWidth="1"/>
    <col min="12332" max="12544" width="9.140625" style="59"/>
    <col min="12545" max="12545" width="7.85546875" style="59" customWidth="1"/>
    <col min="12546" max="12546" width="12.140625" style="59" customWidth="1"/>
    <col min="12547" max="12547" width="6.28515625" style="59" customWidth="1"/>
    <col min="12548" max="12548" width="11.5703125" style="59" customWidth="1"/>
    <col min="12549" max="12549" width="7.85546875" style="59" customWidth="1"/>
    <col min="12550" max="12550" width="12.28515625" style="59" customWidth="1"/>
    <col min="12551" max="12551" width="5.28515625" style="59" customWidth="1"/>
    <col min="12552" max="12552" width="12.140625" style="59" bestFit="1" customWidth="1"/>
    <col min="12553" max="12553" width="5.7109375" style="59" customWidth="1"/>
    <col min="12554" max="12554" width="11.85546875" style="59" bestFit="1" customWidth="1"/>
    <col min="12555" max="12555" width="8" style="59" customWidth="1"/>
    <col min="12556" max="12556" width="12.5703125" style="59" customWidth="1"/>
    <col min="12557" max="12557" width="9" style="59" customWidth="1"/>
    <col min="12558" max="12558" width="11.7109375" style="59" bestFit="1" customWidth="1"/>
    <col min="12559" max="12559" width="9.42578125" style="59" customWidth="1"/>
    <col min="12560" max="12560" width="4.140625" style="59" customWidth="1"/>
    <col min="12561" max="12561" width="3.28515625" style="59" bestFit="1" customWidth="1"/>
    <col min="12562" max="12562" width="8.85546875" style="59" customWidth="1"/>
    <col min="12563" max="12563" width="10" style="59" bestFit="1" customWidth="1"/>
    <col min="12564" max="12565" width="9.42578125" style="59" customWidth="1"/>
    <col min="12566" max="12566" width="9.5703125" style="59" customWidth="1"/>
    <col min="12567" max="12567" width="9.85546875" style="59" customWidth="1"/>
    <col min="12568" max="12569" width="9.42578125" style="59" customWidth="1"/>
    <col min="12570" max="12570" width="9.85546875" style="59" customWidth="1"/>
    <col min="12571" max="12572" width="9.28515625" style="59" customWidth="1"/>
    <col min="12573" max="12573" width="9.85546875" style="59" customWidth="1"/>
    <col min="12574" max="12574" width="9.28515625" style="59" customWidth="1"/>
    <col min="12575" max="12575" width="10.42578125" style="59" customWidth="1"/>
    <col min="12576" max="12576" width="5.28515625" style="59" bestFit="1" customWidth="1"/>
    <col min="12577" max="12577" width="9.7109375" style="59" bestFit="1" customWidth="1"/>
    <col min="12578" max="12578" width="11" style="59" bestFit="1" customWidth="1"/>
    <col min="12579" max="12579" width="10.85546875" style="59" bestFit="1" customWidth="1"/>
    <col min="12580" max="12580" width="9.140625" style="59"/>
    <col min="12581" max="12581" width="3.85546875" style="59" bestFit="1" customWidth="1"/>
    <col min="12582" max="12582" width="7.28515625" style="59" bestFit="1" customWidth="1"/>
    <col min="12583" max="12585" width="9.140625" style="59"/>
    <col min="12586" max="12586" width="9.28515625" style="59" customWidth="1"/>
    <col min="12587" max="12587" width="9.28515625" style="59" bestFit="1" customWidth="1"/>
    <col min="12588" max="12800" width="9.140625" style="59"/>
    <col min="12801" max="12801" width="7.85546875" style="59" customWidth="1"/>
    <col min="12802" max="12802" width="12.140625" style="59" customWidth="1"/>
    <col min="12803" max="12803" width="6.28515625" style="59" customWidth="1"/>
    <col min="12804" max="12804" width="11.5703125" style="59" customWidth="1"/>
    <col min="12805" max="12805" width="7.85546875" style="59" customWidth="1"/>
    <col min="12806" max="12806" width="12.28515625" style="59" customWidth="1"/>
    <col min="12807" max="12807" width="5.28515625" style="59" customWidth="1"/>
    <col min="12808" max="12808" width="12.140625" style="59" bestFit="1" customWidth="1"/>
    <col min="12809" max="12809" width="5.7109375" style="59" customWidth="1"/>
    <col min="12810" max="12810" width="11.85546875" style="59" bestFit="1" customWidth="1"/>
    <col min="12811" max="12811" width="8" style="59" customWidth="1"/>
    <col min="12812" max="12812" width="12.5703125" style="59" customWidth="1"/>
    <col min="12813" max="12813" width="9" style="59" customWidth="1"/>
    <col min="12814" max="12814" width="11.7109375" style="59" bestFit="1" customWidth="1"/>
    <col min="12815" max="12815" width="9.42578125" style="59" customWidth="1"/>
    <col min="12816" max="12816" width="4.140625" style="59" customWidth="1"/>
    <col min="12817" max="12817" width="3.28515625" style="59" bestFit="1" customWidth="1"/>
    <col min="12818" max="12818" width="8.85546875" style="59" customWidth="1"/>
    <col min="12819" max="12819" width="10" style="59" bestFit="1" customWidth="1"/>
    <col min="12820" max="12821" width="9.42578125" style="59" customWidth="1"/>
    <col min="12822" max="12822" width="9.5703125" style="59" customWidth="1"/>
    <col min="12823" max="12823" width="9.85546875" style="59" customWidth="1"/>
    <col min="12824" max="12825" width="9.42578125" style="59" customWidth="1"/>
    <col min="12826" max="12826" width="9.85546875" style="59" customWidth="1"/>
    <col min="12827" max="12828" width="9.28515625" style="59" customWidth="1"/>
    <col min="12829" max="12829" width="9.85546875" style="59" customWidth="1"/>
    <col min="12830" max="12830" width="9.28515625" style="59" customWidth="1"/>
    <col min="12831" max="12831" width="10.42578125" style="59" customWidth="1"/>
    <col min="12832" max="12832" width="5.28515625" style="59" bestFit="1" customWidth="1"/>
    <col min="12833" max="12833" width="9.7109375" style="59" bestFit="1" customWidth="1"/>
    <col min="12834" max="12834" width="11" style="59" bestFit="1" customWidth="1"/>
    <col min="12835" max="12835" width="10.85546875" style="59" bestFit="1" customWidth="1"/>
    <col min="12836" max="12836" width="9.140625" style="59"/>
    <col min="12837" max="12837" width="3.85546875" style="59" bestFit="1" customWidth="1"/>
    <col min="12838" max="12838" width="7.28515625" style="59" bestFit="1" customWidth="1"/>
    <col min="12839" max="12841" width="9.140625" style="59"/>
    <col min="12842" max="12842" width="9.28515625" style="59" customWidth="1"/>
    <col min="12843" max="12843" width="9.28515625" style="59" bestFit="1" customWidth="1"/>
    <col min="12844" max="13056" width="9.140625" style="59"/>
    <col min="13057" max="13057" width="7.85546875" style="59" customWidth="1"/>
    <col min="13058" max="13058" width="12.140625" style="59" customWidth="1"/>
    <col min="13059" max="13059" width="6.28515625" style="59" customWidth="1"/>
    <col min="13060" max="13060" width="11.5703125" style="59" customWidth="1"/>
    <col min="13061" max="13061" width="7.85546875" style="59" customWidth="1"/>
    <col min="13062" max="13062" width="12.28515625" style="59" customWidth="1"/>
    <col min="13063" max="13063" width="5.28515625" style="59" customWidth="1"/>
    <col min="13064" max="13064" width="12.140625" style="59" bestFit="1" customWidth="1"/>
    <col min="13065" max="13065" width="5.7109375" style="59" customWidth="1"/>
    <col min="13066" max="13066" width="11.85546875" style="59" bestFit="1" customWidth="1"/>
    <col min="13067" max="13067" width="8" style="59" customWidth="1"/>
    <col min="13068" max="13068" width="12.5703125" style="59" customWidth="1"/>
    <col min="13069" max="13069" width="9" style="59" customWidth="1"/>
    <col min="13070" max="13070" width="11.7109375" style="59" bestFit="1" customWidth="1"/>
    <col min="13071" max="13071" width="9.42578125" style="59" customWidth="1"/>
    <col min="13072" max="13072" width="4.140625" style="59" customWidth="1"/>
    <col min="13073" max="13073" width="3.28515625" style="59" bestFit="1" customWidth="1"/>
    <col min="13074" max="13074" width="8.85546875" style="59" customWidth="1"/>
    <col min="13075" max="13075" width="10" style="59" bestFit="1" customWidth="1"/>
    <col min="13076" max="13077" width="9.42578125" style="59" customWidth="1"/>
    <col min="13078" max="13078" width="9.5703125" style="59" customWidth="1"/>
    <col min="13079" max="13079" width="9.85546875" style="59" customWidth="1"/>
    <col min="13080" max="13081" width="9.42578125" style="59" customWidth="1"/>
    <col min="13082" max="13082" width="9.85546875" style="59" customWidth="1"/>
    <col min="13083" max="13084" width="9.28515625" style="59" customWidth="1"/>
    <col min="13085" max="13085" width="9.85546875" style="59" customWidth="1"/>
    <col min="13086" max="13086" width="9.28515625" style="59" customWidth="1"/>
    <col min="13087" max="13087" width="10.42578125" style="59" customWidth="1"/>
    <col min="13088" max="13088" width="5.28515625" style="59" bestFit="1" customWidth="1"/>
    <col min="13089" max="13089" width="9.7109375" style="59" bestFit="1" customWidth="1"/>
    <col min="13090" max="13090" width="11" style="59" bestFit="1" customWidth="1"/>
    <col min="13091" max="13091" width="10.85546875" style="59" bestFit="1" customWidth="1"/>
    <col min="13092" max="13092" width="9.140625" style="59"/>
    <col min="13093" max="13093" width="3.85546875" style="59" bestFit="1" customWidth="1"/>
    <col min="13094" max="13094" width="7.28515625" style="59" bestFit="1" customWidth="1"/>
    <col min="13095" max="13097" width="9.140625" style="59"/>
    <col min="13098" max="13098" width="9.28515625" style="59" customWidth="1"/>
    <col min="13099" max="13099" width="9.28515625" style="59" bestFit="1" customWidth="1"/>
    <col min="13100" max="13312" width="9.140625" style="59"/>
    <col min="13313" max="13313" width="7.85546875" style="59" customWidth="1"/>
    <col min="13314" max="13314" width="12.140625" style="59" customWidth="1"/>
    <col min="13315" max="13315" width="6.28515625" style="59" customWidth="1"/>
    <col min="13316" max="13316" width="11.5703125" style="59" customWidth="1"/>
    <col min="13317" max="13317" width="7.85546875" style="59" customWidth="1"/>
    <col min="13318" max="13318" width="12.28515625" style="59" customWidth="1"/>
    <col min="13319" max="13319" width="5.28515625" style="59" customWidth="1"/>
    <col min="13320" max="13320" width="12.140625" style="59" bestFit="1" customWidth="1"/>
    <col min="13321" max="13321" width="5.7109375" style="59" customWidth="1"/>
    <col min="13322" max="13322" width="11.85546875" style="59" bestFit="1" customWidth="1"/>
    <col min="13323" max="13323" width="8" style="59" customWidth="1"/>
    <col min="13324" max="13324" width="12.5703125" style="59" customWidth="1"/>
    <col min="13325" max="13325" width="9" style="59" customWidth="1"/>
    <col min="13326" max="13326" width="11.7109375" style="59" bestFit="1" customWidth="1"/>
    <col min="13327" max="13327" width="9.42578125" style="59" customWidth="1"/>
    <col min="13328" max="13328" width="4.140625" style="59" customWidth="1"/>
    <col min="13329" max="13329" width="3.28515625" style="59" bestFit="1" customWidth="1"/>
    <col min="13330" max="13330" width="8.85546875" style="59" customWidth="1"/>
    <col min="13331" max="13331" width="10" style="59" bestFit="1" customWidth="1"/>
    <col min="13332" max="13333" width="9.42578125" style="59" customWidth="1"/>
    <col min="13334" max="13334" width="9.5703125" style="59" customWidth="1"/>
    <col min="13335" max="13335" width="9.85546875" style="59" customWidth="1"/>
    <col min="13336" max="13337" width="9.42578125" style="59" customWidth="1"/>
    <col min="13338" max="13338" width="9.85546875" style="59" customWidth="1"/>
    <col min="13339" max="13340" width="9.28515625" style="59" customWidth="1"/>
    <col min="13341" max="13341" width="9.85546875" style="59" customWidth="1"/>
    <col min="13342" max="13342" width="9.28515625" style="59" customWidth="1"/>
    <col min="13343" max="13343" width="10.42578125" style="59" customWidth="1"/>
    <col min="13344" max="13344" width="5.28515625" style="59" bestFit="1" customWidth="1"/>
    <col min="13345" max="13345" width="9.7109375" style="59" bestFit="1" customWidth="1"/>
    <col min="13346" max="13346" width="11" style="59" bestFit="1" customWidth="1"/>
    <col min="13347" max="13347" width="10.85546875" style="59" bestFit="1" customWidth="1"/>
    <col min="13348" max="13348" width="9.140625" style="59"/>
    <col min="13349" max="13349" width="3.85546875" style="59" bestFit="1" customWidth="1"/>
    <col min="13350" max="13350" width="7.28515625" style="59" bestFit="1" customWidth="1"/>
    <col min="13351" max="13353" width="9.140625" style="59"/>
    <col min="13354" max="13354" width="9.28515625" style="59" customWidth="1"/>
    <col min="13355" max="13355" width="9.28515625" style="59" bestFit="1" customWidth="1"/>
    <col min="13356" max="13568" width="9.140625" style="59"/>
    <col min="13569" max="13569" width="7.85546875" style="59" customWidth="1"/>
    <col min="13570" max="13570" width="12.140625" style="59" customWidth="1"/>
    <col min="13571" max="13571" width="6.28515625" style="59" customWidth="1"/>
    <col min="13572" max="13572" width="11.5703125" style="59" customWidth="1"/>
    <col min="13573" max="13573" width="7.85546875" style="59" customWidth="1"/>
    <col min="13574" max="13574" width="12.28515625" style="59" customWidth="1"/>
    <col min="13575" max="13575" width="5.28515625" style="59" customWidth="1"/>
    <col min="13576" max="13576" width="12.140625" style="59" bestFit="1" customWidth="1"/>
    <col min="13577" max="13577" width="5.7109375" style="59" customWidth="1"/>
    <col min="13578" max="13578" width="11.85546875" style="59" bestFit="1" customWidth="1"/>
    <col min="13579" max="13579" width="8" style="59" customWidth="1"/>
    <col min="13580" max="13580" width="12.5703125" style="59" customWidth="1"/>
    <col min="13581" max="13581" width="9" style="59" customWidth="1"/>
    <col min="13582" max="13582" width="11.7109375" style="59" bestFit="1" customWidth="1"/>
    <col min="13583" max="13583" width="9.42578125" style="59" customWidth="1"/>
    <col min="13584" max="13584" width="4.140625" style="59" customWidth="1"/>
    <col min="13585" max="13585" width="3.28515625" style="59" bestFit="1" customWidth="1"/>
    <col min="13586" max="13586" width="8.85546875" style="59" customWidth="1"/>
    <col min="13587" max="13587" width="10" style="59" bestFit="1" customWidth="1"/>
    <col min="13588" max="13589" width="9.42578125" style="59" customWidth="1"/>
    <col min="13590" max="13590" width="9.5703125" style="59" customWidth="1"/>
    <col min="13591" max="13591" width="9.85546875" style="59" customWidth="1"/>
    <col min="13592" max="13593" width="9.42578125" style="59" customWidth="1"/>
    <col min="13594" max="13594" width="9.85546875" style="59" customWidth="1"/>
    <col min="13595" max="13596" width="9.28515625" style="59" customWidth="1"/>
    <col min="13597" max="13597" width="9.85546875" style="59" customWidth="1"/>
    <col min="13598" max="13598" width="9.28515625" style="59" customWidth="1"/>
    <col min="13599" max="13599" width="10.42578125" style="59" customWidth="1"/>
    <col min="13600" max="13600" width="5.28515625" style="59" bestFit="1" customWidth="1"/>
    <col min="13601" max="13601" width="9.7109375" style="59" bestFit="1" customWidth="1"/>
    <col min="13602" max="13602" width="11" style="59" bestFit="1" customWidth="1"/>
    <col min="13603" max="13603" width="10.85546875" style="59" bestFit="1" customWidth="1"/>
    <col min="13604" max="13604" width="9.140625" style="59"/>
    <col min="13605" max="13605" width="3.85546875" style="59" bestFit="1" customWidth="1"/>
    <col min="13606" max="13606" width="7.28515625" style="59" bestFit="1" customWidth="1"/>
    <col min="13607" max="13609" width="9.140625" style="59"/>
    <col min="13610" max="13610" width="9.28515625" style="59" customWidth="1"/>
    <col min="13611" max="13611" width="9.28515625" style="59" bestFit="1" customWidth="1"/>
    <col min="13612" max="13824" width="9.140625" style="59"/>
    <col min="13825" max="13825" width="7.85546875" style="59" customWidth="1"/>
    <col min="13826" max="13826" width="12.140625" style="59" customWidth="1"/>
    <col min="13827" max="13827" width="6.28515625" style="59" customWidth="1"/>
    <col min="13828" max="13828" width="11.5703125" style="59" customWidth="1"/>
    <col min="13829" max="13829" width="7.85546875" style="59" customWidth="1"/>
    <col min="13830" max="13830" width="12.28515625" style="59" customWidth="1"/>
    <col min="13831" max="13831" width="5.28515625" style="59" customWidth="1"/>
    <col min="13832" max="13832" width="12.140625" style="59" bestFit="1" customWidth="1"/>
    <col min="13833" max="13833" width="5.7109375" style="59" customWidth="1"/>
    <col min="13834" max="13834" width="11.85546875" style="59" bestFit="1" customWidth="1"/>
    <col min="13835" max="13835" width="8" style="59" customWidth="1"/>
    <col min="13836" max="13836" width="12.5703125" style="59" customWidth="1"/>
    <col min="13837" max="13837" width="9" style="59" customWidth="1"/>
    <col min="13838" max="13838" width="11.7109375" style="59" bestFit="1" customWidth="1"/>
    <col min="13839" max="13839" width="9.42578125" style="59" customWidth="1"/>
    <col min="13840" max="13840" width="4.140625" style="59" customWidth="1"/>
    <col min="13841" max="13841" width="3.28515625" style="59" bestFit="1" customWidth="1"/>
    <col min="13842" max="13842" width="8.85546875" style="59" customWidth="1"/>
    <col min="13843" max="13843" width="10" style="59" bestFit="1" customWidth="1"/>
    <col min="13844" max="13845" width="9.42578125" style="59" customWidth="1"/>
    <col min="13846" max="13846" width="9.5703125" style="59" customWidth="1"/>
    <col min="13847" max="13847" width="9.85546875" style="59" customWidth="1"/>
    <col min="13848" max="13849" width="9.42578125" style="59" customWidth="1"/>
    <col min="13850" max="13850" width="9.85546875" style="59" customWidth="1"/>
    <col min="13851" max="13852" width="9.28515625" style="59" customWidth="1"/>
    <col min="13853" max="13853" width="9.85546875" style="59" customWidth="1"/>
    <col min="13854" max="13854" width="9.28515625" style="59" customWidth="1"/>
    <col min="13855" max="13855" width="10.42578125" style="59" customWidth="1"/>
    <col min="13856" max="13856" width="5.28515625" style="59" bestFit="1" customWidth="1"/>
    <col min="13857" max="13857" width="9.7109375" style="59" bestFit="1" customWidth="1"/>
    <col min="13858" max="13858" width="11" style="59" bestFit="1" customWidth="1"/>
    <col min="13859" max="13859" width="10.85546875" style="59" bestFit="1" customWidth="1"/>
    <col min="13860" max="13860" width="9.140625" style="59"/>
    <col min="13861" max="13861" width="3.85546875" style="59" bestFit="1" customWidth="1"/>
    <col min="13862" max="13862" width="7.28515625" style="59" bestFit="1" customWidth="1"/>
    <col min="13863" max="13865" width="9.140625" style="59"/>
    <col min="13866" max="13866" width="9.28515625" style="59" customWidth="1"/>
    <col min="13867" max="13867" width="9.28515625" style="59" bestFit="1" customWidth="1"/>
    <col min="13868" max="14080" width="9.140625" style="59"/>
    <col min="14081" max="14081" width="7.85546875" style="59" customWidth="1"/>
    <col min="14082" max="14082" width="12.140625" style="59" customWidth="1"/>
    <col min="14083" max="14083" width="6.28515625" style="59" customWidth="1"/>
    <col min="14084" max="14084" width="11.5703125" style="59" customWidth="1"/>
    <col min="14085" max="14085" width="7.85546875" style="59" customWidth="1"/>
    <col min="14086" max="14086" width="12.28515625" style="59" customWidth="1"/>
    <col min="14087" max="14087" width="5.28515625" style="59" customWidth="1"/>
    <col min="14088" max="14088" width="12.140625" style="59" bestFit="1" customWidth="1"/>
    <col min="14089" max="14089" width="5.7109375" style="59" customWidth="1"/>
    <col min="14090" max="14090" width="11.85546875" style="59" bestFit="1" customWidth="1"/>
    <col min="14091" max="14091" width="8" style="59" customWidth="1"/>
    <col min="14092" max="14092" width="12.5703125" style="59" customWidth="1"/>
    <col min="14093" max="14093" width="9" style="59" customWidth="1"/>
    <col min="14094" max="14094" width="11.7109375" style="59" bestFit="1" customWidth="1"/>
    <col min="14095" max="14095" width="9.42578125" style="59" customWidth="1"/>
    <col min="14096" max="14096" width="4.140625" style="59" customWidth="1"/>
    <col min="14097" max="14097" width="3.28515625" style="59" bestFit="1" customWidth="1"/>
    <col min="14098" max="14098" width="8.85546875" style="59" customWidth="1"/>
    <col min="14099" max="14099" width="10" style="59" bestFit="1" customWidth="1"/>
    <col min="14100" max="14101" width="9.42578125" style="59" customWidth="1"/>
    <col min="14102" max="14102" width="9.5703125" style="59" customWidth="1"/>
    <col min="14103" max="14103" width="9.85546875" style="59" customWidth="1"/>
    <col min="14104" max="14105" width="9.42578125" style="59" customWidth="1"/>
    <col min="14106" max="14106" width="9.85546875" style="59" customWidth="1"/>
    <col min="14107" max="14108" width="9.28515625" style="59" customWidth="1"/>
    <col min="14109" max="14109" width="9.85546875" style="59" customWidth="1"/>
    <col min="14110" max="14110" width="9.28515625" style="59" customWidth="1"/>
    <col min="14111" max="14111" width="10.42578125" style="59" customWidth="1"/>
    <col min="14112" max="14112" width="5.28515625" style="59" bestFit="1" customWidth="1"/>
    <col min="14113" max="14113" width="9.7109375" style="59" bestFit="1" customWidth="1"/>
    <col min="14114" max="14114" width="11" style="59" bestFit="1" customWidth="1"/>
    <col min="14115" max="14115" width="10.85546875" style="59" bestFit="1" customWidth="1"/>
    <col min="14116" max="14116" width="9.140625" style="59"/>
    <col min="14117" max="14117" width="3.85546875" style="59" bestFit="1" customWidth="1"/>
    <col min="14118" max="14118" width="7.28515625" style="59" bestFit="1" customWidth="1"/>
    <col min="14119" max="14121" width="9.140625" style="59"/>
    <col min="14122" max="14122" width="9.28515625" style="59" customWidth="1"/>
    <col min="14123" max="14123" width="9.28515625" style="59" bestFit="1" customWidth="1"/>
    <col min="14124" max="14336" width="9.140625" style="59"/>
    <col min="14337" max="14337" width="7.85546875" style="59" customWidth="1"/>
    <col min="14338" max="14338" width="12.140625" style="59" customWidth="1"/>
    <col min="14339" max="14339" width="6.28515625" style="59" customWidth="1"/>
    <col min="14340" max="14340" width="11.5703125" style="59" customWidth="1"/>
    <col min="14341" max="14341" width="7.85546875" style="59" customWidth="1"/>
    <col min="14342" max="14342" width="12.28515625" style="59" customWidth="1"/>
    <col min="14343" max="14343" width="5.28515625" style="59" customWidth="1"/>
    <col min="14344" max="14344" width="12.140625" style="59" bestFit="1" customWidth="1"/>
    <col min="14345" max="14345" width="5.7109375" style="59" customWidth="1"/>
    <col min="14346" max="14346" width="11.85546875" style="59" bestFit="1" customWidth="1"/>
    <col min="14347" max="14347" width="8" style="59" customWidth="1"/>
    <col min="14348" max="14348" width="12.5703125" style="59" customWidth="1"/>
    <col min="14349" max="14349" width="9" style="59" customWidth="1"/>
    <col min="14350" max="14350" width="11.7109375" style="59" bestFit="1" customWidth="1"/>
    <col min="14351" max="14351" width="9.42578125" style="59" customWidth="1"/>
    <col min="14352" max="14352" width="4.140625" style="59" customWidth="1"/>
    <col min="14353" max="14353" width="3.28515625" style="59" bestFit="1" customWidth="1"/>
    <col min="14354" max="14354" width="8.85546875" style="59" customWidth="1"/>
    <col min="14355" max="14355" width="10" style="59" bestFit="1" customWidth="1"/>
    <col min="14356" max="14357" width="9.42578125" style="59" customWidth="1"/>
    <col min="14358" max="14358" width="9.5703125" style="59" customWidth="1"/>
    <col min="14359" max="14359" width="9.85546875" style="59" customWidth="1"/>
    <col min="14360" max="14361" width="9.42578125" style="59" customWidth="1"/>
    <col min="14362" max="14362" width="9.85546875" style="59" customWidth="1"/>
    <col min="14363" max="14364" width="9.28515625" style="59" customWidth="1"/>
    <col min="14365" max="14365" width="9.85546875" style="59" customWidth="1"/>
    <col min="14366" max="14366" width="9.28515625" style="59" customWidth="1"/>
    <col min="14367" max="14367" width="10.42578125" style="59" customWidth="1"/>
    <col min="14368" max="14368" width="5.28515625" style="59" bestFit="1" customWidth="1"/>
    <col min="14369" max="14369" width="9.7109375" style="59" bestFit="1" customWidth="1"/>
    <col min="14370" max="14370" width="11" style="59" bestFit="1" customWidth="1"/>
    <col min="14371" max="14371" width="10.85546875" style="59" bestFit="1" customWidth="1"/>
    <col min="14372" max="14372" width="9.140625" style="59"/>
    <col min="14373" max="14373" width="3.85546875" style="59" bestFit="1" customWidth="1"/>
    <col min="14374" max="14374" width="7.28515625" style="59" bestFit="1" customWidth="1"/>
    <col min="14375" max="14377" width="9.140625" style="59"/>
    <col min="14378" max="14378" width="9.28515625" style="59" customWidth="1"/>
    <col min="14379" max="14379" width="9.28515625" style="59" bestFit="1" customWidth="1"/>
    <col min="14380" max="14592" width="9.140625" style="59"/>
    <col min="14593" max="14593" width="7.85546875" style="59" customWidth="1"/>
    <col min="14594" max="14594" width="12.140625" style="59" customWidth="1"/>
    <col min="14595" max="14595" width="6.28515625" style="59" customWidth="1"/>
    <col min="14596" max="14596" width="11.5703125" style="59" customWidth="1"/>
    <col min="14597" max="14597" width="7.85546875" style="59" customWidth="1"/>
    <col min="14598" max="14598" width="12.28515625" style="59" customWidth="1"/>
    <col min="14599" max="14599" width="5.28515625" style="59" customWidth="1"/>
    <col min="14600" max="14600" width="12.140625" style="59" bestFit="1" customWidth="1"/>
    <col min="14601" max="14601" width="5.7109375" style="59" customWidth="1"/>
    <col min="14602" max="14602" width="11.85546875" style="59" bestFit="1" customWidth="1"/>
    <col min="14603" max="14603" width="8" style="59" customWidth="1"/>
    <col min="14604" max="14604" width="12.5703125" style="59" customWidth="1"/>
    <col min="14605" max="14605" width="9" style="59" customWidth="1"/>
    <col min="14606" max="14606" width="11.7109375" style="59" bestFit="1" customWidth="1"/>
    <col min="14607" max="14607" width="9.42578125" style="59" customWidth="1"/>
    <col min="14608" max="14608" width="4.140625" style="59" customWidth="1"/>
    <col min="14609" max="14609" width="3.28515625" style="59" bestFit="1" customWidth="1"/>
    <col min="14610" max="14610" width="8.85546875" style="59" customWidth="1"/>
    <col min="14611" max="14611" width="10" style="59" bestFit="1" customWidth="1"/>
    <col min="14612" max="14613" width="9.42578125" style="59" customWidth="1"/>
    <col min="14614" max="14614" width="9.5703125" style="59" customWidth="1"/>
    <col min="14615" max="14615" width="9.85546875" style="59" customWidth="1"/>
    <col min="14616" max="14617" width="9.42578125" style="59" customWidth="1"/>
    <col min="14618" max="14618" width="9.85546875" style="59" customWidth="1"/>
    <col min="14619" max="14620" width="9.28515625" style="59" customWidth="1"/>
    <col min="14621" max="14621" width="9.85546875" style="59" customWidth="1"/>
    <col min="14622" max="14622" width="9.28515625" style="59" customWidth="1"/>
    <col min="14623" max="14623" width="10.42578125" style="59" customWidth="1"/>
    <col min="14624" max="14624" width="5.28515625" style="59" bestFit="1" customWidth="1"/>
    <col min="14625" max="14625" width="9.7109375" style="59" bestFit="1" customWidth="1"/>
    <col min="14626" max="14626" width="11" style="59" bestFit="1" customWidth="1"/>
    <col min="14627" max="14627" width="10.85546875" style="59" bestFit="1" customWidth="1"/>
    <col min="14628" max="14628" width="9.140625" style="59"/>
    <col min="14629" max="14629" width="3.85546875" style="59" bestFit="1" customWidth="1"/>
    <col min="14630" max="14630" width="7.28515625" style="59" bestFit="1" customWidth="1"/>
    <col min="14631" max="14633" width="9.140625" style="59"/>
    <col min="14634" max="14634" width="9.28515625" style="59" customWidth="1"/>
    <col min="14635" max="14635" width="9.28515625" style="59" bestFit="1" customWidth="1"/>
    <col min="14636" max="14848" width="9.140625" style="59"/>
    <col min="14849" max="14849" width="7.85546875" style="59" customWidth="1"/>
    <col min="14850" max="14850" width="12.140625" style="59" customWidth="1"/>
    <col min="14851" max="14851" width="6.28515625" style="59" customWidth="1"/>
    <col min="14852" max="14852" width="11.5703125" style="59" customWidth="1"/>
    <col min="14853" max="14853" width="7.85546875" style="59" customWidth="1"/>
    <col min="14854" max="14854" width="12.28515625" style="59" customWidth="1"/>
    <col min="14855" max="14855" width="5.28515625" style="59" customWidth="1"/>
    <col min="14856" max="14856" width="12.140625" style="59" bestFit="1" customWidth="1"/>
    <col min="14857" max="14857" width="5.7109375" style="59" customWidth="1"/>
    <col min="14858" max="14858" width="11.85546875" style="59" bestFit="1" customWidth="1"/>
    <col min="14859" max="14859" width="8" style="59" customWidth="1"/>
    <col min="14860" max="14860" width="12.5703125" style="59" customWidth="1"/>
    <col min="14861" max="14861" width="9" style="59" customWidth="1"/>
    <col min="14862" max="14862" width="11.7109375" style="59" bestFit="1" customWidth="1"/>
    <col min="14863" max="14863" width="9.42578125" style="59" customWidth="1"/>
    <col min="14864" max="14864" width="4.140625" style="59" customWidth="1"/>
    <col min="14865" max="14865" width="3.28515625" style="59" bestFit="1" customWidth="1"/>
    <col min="14866" max="14866" width="8.85546875" style="59" customWidth="1"/>
    <col min="14867" max="14867" width="10" style="59" bestFit="1" customWidth="1"/>
    <col min="14868" max="14869" width="9.42578125" style="59" customWidth="1"/>
    <col min="14870" max="14870" width="9.5703125" style="59" customWidth="1"/>
    <col min="14871" max="14871" width="9.85546875" style="59" customWidth="1"/>
    <col min="14872" max="14873" width="9.42578125" style="59" customWidth="1"/>
    <col min="14874" max="14874" width="9.85546875" style="59" customWidth="1"/>
    <col min="14875" max="14876" width="9.28515625" style="59" customWidth="1"/>
    <col min="14877" max="14877" width="9.85546875" style="59" customWidth="1"/>
    <col min="14878" max="14878" width="9.28515625" style="59" customWidth="1"/>
    <col min="14879" max="14879" width="10.42578125" style="59" customWidth="1"/>
    <col min="14880" max="14880" width="5.28515625" style="59" bestFit="1" customWidth="1"/>
    <col min="14881" max="14881" width="9.7109375" style="59" bestFit="1" customWidth="1"/>
    <col min="14882" max="14882" width="11" style="59" bestFit="1" customWidth="1"/>
    <col min="14883" max="14883" width="10.85546875" style="59" bestFit="1" customWidth="1"/>
    <col min="14884" max="14884" width="9.140625" style="59"/>
    <col min="14885" max="14885" width="3.85546875" style="59" bestFit="1" customWidth="1"/>
    <col min="14886" max="14886" width="7.28515625" style="59" bestFit="1" customWidth="1"/>
    <col min="14887" max="14889" width="9.140625" style="59"/>
    <col min="14890" max="14890" width="9.28515625" style="59" customWidth="1"/>
    <col min="14891" max="14891" width="9.28515625" style="59" bestFit="1" customWidth="1"/>
    <col min="14892" max="15104" width="9.140625" style="59"/>
    <col min="15105" max="15105" width="7.85546875" style="59" customWidth="1"/>
    <col min="15106" max="15106" width="12.140625" style="59" customWidth="1"/>
    <col min="15107" max="15107" width="6.28515625" style="59" customWidth="1"/>
    <col min="15108" max="15108" width="11.5703125" style="59" customWidth="1"/>
    <col min="15109" max="15109" width="7.85546875" style="59" customWidth="1"/>
    <col min="15110" max="15110" width="12.28515625" style="59" customWidth="1"/>
    <col min="15111" max="15111" width="5.28515625" style="59" customWidth="1"/>
    <col min="15112" max="15112" width="12.140625" style="59" bestFit="1" customWidth="1"/>
    <col min="15113" max="15113" width="5.7109375" style="59" customWidth="1"/>
    <col min="15114" max="15114" width="11.85546875" style="59" bestFit="1" customWidth="1"/>
    <col min="15115" max="15115" width="8" style="59" customWidth="1"/>
    <col min="15116" max="15116" width="12.5703125" style="59" customWidth="1"/>
    <col min="15117" max="15117" width="9" style="59" customWidth="1"/>
    <col min="15118" max="15118" width="11.7109375" style="59" bestFit="1" customWidth="1"/>
    <col min="15119" max="15119" width="9.42578125" style="59" customWidth="1"/>
    <col min="15120" max="15120" width="4.140625" style="59" customWidth="1"/>
    <col min="15121" max="15121" width="3.28515625" style="59" bestFit="1" customWidth="1"/>
    <col min="15122" max="15122" width="8.85546875" style="59" customWidth="1"/>
    <col min="15123" max="15123" width="10" style="59" bestFit="1" customWidth="1"/>
    <col min="15124" max="15125" width="9.42578125" style="59" customWidth="1"/>
    <col min="15126" max="15126" width="9.5703125" style="59" customWidth="1"/>
    <col min="15127" max="15127" width="9.85546875" style="59" customWidth="1"/>
    <col min="15128" max="15129" width="9.42578125" style="59" customWidth="1"/>
    <col min="15130" max="15130" width="9.85546875" style="59" customWidth="1"/>
    <col min="15131" max="15132" width="9.28515625" style="59" customWidth="1"/>
    <col min="15133" max="15133" width="9.85546875" style="59" customWidth="1"/>
    <col min="15134" max="15134" width="9.28515625" style="59" customWidth="1"/>
    <col min="15135" max="15135" width="10.42578125" style="59" customWidth="1"/>
    <col min="15136" max="15136" width="5.28515625" style="59" bestFit="1" customWidth="1"/>
    <col min="15137" max="15137" width="9.7109375" style="59" bestFit="1" customWidth="1"/>
    <col min="15138" max="15138" width="11" style="59" bestFit="1" customWidth="1"/>
    <col min="15139" max="15139" width="10.85546875" style="59" bestFit="1" customWidth="1"/>
    <col min="15140" max="15140" width="9.140625" style="59"/>
    <col min="15141" max="15141" width="3.85546875" style="59" bestFit="1" customWidth="1"/>
    <col min="15142" max="15142" width="7.28515625" style="59" bestFit="1" customWidth="1"/>
    <col min="15143" max="15145" width="9.140625" style="59"/>
    <col min="15146" max="15146" width="9.28515625" style="59" customWidth="1"/>
    <col min="15147" max="15147" width="9.28515625" style="59" bestFit="1" customWidth="1"/>
    <col min="15148" max="15360" width="9.140625" style="59"/>
    <col min="15361" max="15361" width="7.85546875" style="59" customWidth="1"/>
    <col min="15362" max="15362" width="12.140625" style="59" customWidth="1"/>
    <col min="15363" max="15363" width="6.28515625" style="59" customWidth="1"/>
    <col min="15364" max="15364" width="11.5703125" style="59" customWidth="1"/>
    <col min="15365" max="15365" width="7.85546875" style="59" customWidth="1"/>
    <col min="15366" max="15366" width="12.28515625" style="59" customWidth="1"/>
    <col min="15367" max="15367" width="5.28515625" style="59" customWidth="1"/>
    <col min="15368" max="15368" width="12.140625" style="59" bestFit="1" customWidth="1"/>
    <col min="15369" max="15369" width="5.7109375" style="59" customWidth="1"/>
    <col min="15370" max="15370" width="11.85546875" style="59" bestFit="1" customWidth="1"/>
    <col min="15371" max="15371" width="8" style="59" customWidth="1"/>
    <col min="15372" max="15372" width="12.5703125" style="59" customWidth="1"/>
    <col min="15373" max="15373" width="9" style="59" customWidth="1"/>
    <col min="15374" max="15374" width="11.7109375" style="59" bestFit="1" customWidth="1"/>
    <col min="15375" max="15375" width="9.42578125" style="59" customWidth="1"/>
    <col min="15376" max="15376" width="4.140625" style="59" customWidth="1"/>
    <col min="15377" max="15377" width="3.28515625" style="59" bestFit="1" customWidth="1"/>
    <col min="15378" max="15378" width="8.85546875" style="59" customWidth="1"/>
    <col min="15379" max="15379" width="10" style="59" bestFit="1" customWidth="1"/>
    <col min="15380" max="15381" width="9.42578125" style="59" customWidth="1"/>
    <col min="15382" max="15382" width="9.5703125" style="59" customWidth="1"/>
    <col min="15383" max="15383" width="9.85546875" style="59" customWidth="1"/>
    <col min="15384" max="15385" width="9.42578125" style="59" customWidth="1"/>
    <col min="15386" max="15386" width="9.85546875" style="59" customWidth="1"/>
    <col min="15387" max="15388" width="9.28515625" style="59" customWidth="1"/>
    <col min="15389" max="15389" width="9.85546875" style="59" customWidth="1"/>
    <col min="15390" max="15390" width="9.28515625" style="59" customWidth="1"/>
    <col min="15391" max="15391" width="10.42578125" style="59" customWidth="1"/>
    <col min="15392" max="15392" width="5.28515625" style="59" bestFit="1" customWidth="1"/>
    <col min="15393" max="15393" width="9.7109375" style="59" bestFit="1" customWidth="1"/>
    <col min="15394" max="15394" width="11" style="59" bestFit="1" customWidth="1"/>
    <col min="15395" max="15395" width="10.85546875" style="59" bestFit="1" customWidth="1"/>
    <col min="15396" max="15396" width="9.140625" style="59"/>
    <col min="15397" max="15397" width="3.85546875" style="59" bestFit="1" customWidth="1"/>
    <col min="15398" max="15398" width="7.28515625" style="59" bestFit="1" customWidth="1"/>
    <col min="15399" max="15401" width="9.140625" style="59"/>
    <col min="15402" max="15402" width="9.28515625" style="59" customWidth="1"/>
    <col min="15403" max="15403" width="9.28515625" style="59" bestFit="1" customWidth="1"/>
    <col min="15404" max="15616" width="9.140625" style="59"/>
    <col min="15617" max="15617" width="7.85546875" style="59" customWidth="1"/>
    <col min="15618" max="15618" width="12.140625" style="59" customWidth="1"/>
    <col min="15619" max="15619" width="6.28515625" style="59" customWidth="1"/>
    <col min="15620" max="15620" width="11.5703125" style="59" customWidth="1"/>
    <col min="15621" max="15621" width="7.85546875" style="59" customWidth="1"/>
    <col min="15622" max="15622" width="12.28515625" style="59" customWidth="1"/>
    <col min="15623" max="15623" width="5.28515625" style="59" customWidth="1"/>
    <col min="15624" max="15624" width="12.140625" style="59" bestFit="1" customWidth="1"/>
    <col min="15625" max="15625" width="5.7109375" style="59" customWidth="1"/>
    <col min="15626" max="15626" width="11.85546875" style="59" bestFit="1" customWidth="1"/>
    <col min="15627" max="15627" width="8" style="59" customWidth="1"/>
    <col min="15628" max="15628" width="12.5703125" style="59" customWidth="1"/>
    <col min="15629" max="15629" width="9" style="59" customWidth="1"/>
    <col min="15630" max="15630" width="11.7109375" style="59" bestFit="1" customWidth="1"/>
    <col min="15631" max="15631" width="9.42578125" style="59" customWidth="1"/>
    <col min="15632" max="15632" width="4.140625" style="59" customWidth="1"/>
    <col min="15633" max="15633" width="3.28515625" style="59" bestFit="1" customWidth="1"/>
    <col min="15634" max="15634" width="8.85546875" style="59" customWidth="1"/>
    <col min="15635" max="15635" width="10" style="59" bestFit="1" customWidth="1"/>
    <col min="15636" max="15637" width="9.42578125" style="59" customWidth="1"/>
    <col min="15638" max="15638" width="9.5703125" style="59" customWidth="1"/>
    <col min="15639" max="15639" width="9.85546875" style="59" customWidth="1"/>
    <col min="15640" max="15641" width="9.42578125" style="59" customWidth="1"/>
    <col min="15642" max="15642" width="9.85546875" style="59" customWidth="1"/>
    <col min="15643" max="15644" width="9.28515625" style="59" customWidth="1"/>
    <col min="15645" max="15645" width="9.85546875" style="59" customWidth="1"/>
    <col min="15646" max="15646" width="9.28515625" style="59" customWidth="1"/>
    <col min="15647" max="15647" width="10.42578125" style="59" customWidth="1"/>
    <col min="15648" max="15648" width="5.28515625" style="59" bestFit="1" customWidth="1"/>
    <col min="15649" max="15649" width="9.7109375" style="59" bestFit="1" customWidth="1"/>
    <col min="15650" max="15650" width="11" style="59" bestFit="1" customWidth="1"/>
    <col min="15651" max="15651" width="10.85546875" style="59" bestFit="1" customWidth="1"/>
    <col min="15652" max="15652" width="9.140625" style="59"/>
    <col min="15653" max="15653" width="3.85546875" style="59" bestFit="1" customWidth="1"/>
    <col min="15654" max="15654" width="7.28515625" style="59" bestFit="1" customWidth="1"/>
    <col min="15655" max="15657" width="9.140625" style="59"/>
    <col min="15658" max="15658" width="9.28515625" style="59" customWidth="1"/>
    <col min="15659" max="15659" width="9.28515625" style="59" bestFit="1" customWidth="1"/>
    <col min="15660" max="15872" width="9.140625" style="59"/>
    <col min="15873" max="15873" width="7.85546875" style="59" customWidth="1"/>
    <col min="15874" max="15874" width="12.140625" style="59" customWidth="1"/>
    <col min="15875" max="15875" width="6.28515625" style="59" customWidth="1"/>
    <col min="15876" max="15876" width="11.5703125" style="59" customWidth="1"/>
    <col min="15877" max="15877" width="7.85546875" style="59" customWidth="1"/>
    <col min="15878" max="15878" width="12.28515625" style="59" customWidth="1"/>
    <col min="15879" max="15879" width="5.28515625" style="59" customWidth="1"/>
    <col min="15880" max="15880" width="12.140625" style="59" bestFit="1" customWidth="1"/>
    <col min="15881" max="15881" width="5.7109375" style="59" customWidth="1"/>
    <col min="15882" max="15882" width="11.85546875" style="59" bestFit="1" customWidth="1"/>
    <col min="15883" max="15883" width="8" style="59" customWidth="1"/>
    <col min="15884" max="15884" width="12.5703125" style="59" customWidth="1"/>
    <col min="15885" max="15885" width="9" style="59" customWidth="1"/>
    <col min="15886" max="15886" width="11.7109375" style="59" bestFit="1" customWidth="1"/>
    <col min="15887" max="15887" width="9.42578125" style="59" customWidth="1"/>
    <col min="15888" max="15888" width="4.140625" style="59" customWidth="1"/>
    <col min="15889" max="15889" width="3.28515625" style="59" bestFit="1" customWidth="1"/>
    <col min="15890" max="15890" width="8.85546875" style="59" customWidth="1"/>
    <col min="15891" max="15891" width="10" style="59" bestFit="1" customWidth="1"/>
    <col min="15892" max="15893" width="9.42578125" style="59" customWidth="1"/>
    <col min="15894" max="15894" width="9.5703125" style="59" customWidth="1"/>
    <col min="15895" max="15895" width="9.85546875" style="59" customWidth="1"/>
    <col min="15896" max="15897" width="9.42578125" style="59" customWidth="1"/>
    <col min="15898" max="15898" width="9.85546875" style="59" customWidth="1"/>
    <col min="15899" max="15900" width="9.28515625" style="59" customWidth="1"/>
    <col min="15901" max="15901" width="9.85546875" style="59" customWidth="1"/>
    <col min="15902" max="15902" width="9.28515625" style="59" customWidth="1"/>
    <col min="15903" max="15903" width="10.42578125" style="59" customWidth="1"/>
    <col min="15904" max="15904" width="5.28515625" style="59" bestFit="1" customWidth="1"/>
    <col min="15905" max="15905" width="9.7109375" style="59" bestFit="1" customWidth="1"/>
    <col min="15906" max="15906" width="11" style="59" bestFit="1" customWidth="1"/>
    <col min="15907" max="15907" width="10.85546875" style="59" bestFit="1" customWidth="1"/>
    <col min="15908" max="15908" width="9.140625" style="59"/>
    <col min="15909" max="15909" width="3.85546875" style="59" bestFit="1" customWidth="1"/>
    <col min="15910" max="15910" width="7.28515625" style="59" bestFit="1" customWidth="1"/>
    <col min="15911" max="15913" width="9.140625" style="59"/>
    <col min="15914" max="15914" width="9.28515625" style="59" customWidth="1"/>
    <col min="15915" max="15915" width="9.28515625" style="59" bestFit="1" customWidth="1"/>
    <col min="15916" max="16128" width="9.140625" style="59"/>
    <col min="16129" max="16129" width="7.85546875" style="59" customWidth="1"/>
    <col min="16130" max="16130" width="12.140625" style="59" customWidth="1"/>
    <col min="16131" max="16131" width="6.28515625" style="59" customWidth="1"/>
    <col min="16132" max="16132" width="11.5703125" style="59" customWidth="1"/>
    <col min="16133" max="16133" width="7.85546875" style="59" customWidth="1"/>
    <col min="16134" max="16134" width="12.28515625" style="59" customWidth="1"/>
    <col min="16135" max="16135" width="5.28515625" style="59" customWidth="1"/>
    <col min="16136" max="16136" width="12.140625" style="59" bestFit="1" customWidth="1"/>
    <col min="16137" max="16137" width="5.7109375" style="59" customWidth="1"/>
    <col min="16138" max="16138" width="11.85546875" style="59" bestFit="1" customWidth="1"/>
    <col min="16139" max="16139" width="8" style="59" customWidth="1"/>
    <col min="16140" max="16140" width="12.5703125" style="59" customWidth="1"/>
    <col min="16141" max="16141" width="9" style="59" customWidth="1"/>
    <col min="16142" max="16142" width="11.7109375" style="59" bestFit="1" customWidth="1"/>
    <col min="16143" max="16143" width="9.42578125" style="59" customWidth="1"/>
    <col min="16144" max="16144" width="4.140625" style="59" customWidth="1"/>
    <col min="16145" max="16145" width="3.28515625" style="59" bestFit="1" customWidth="1"/>
    <col min="16146" max="16146" width="8.85546875" style="59" customWidth="1"/>
    <col min="16147" max="16147" width="10" style="59" bestFit="1" customWidth="1"/>
    <col min="16148" max="16149" width="9.42578125" style="59" customWidth="1"/>
    <col min="16150" max="16150" width="9.5703125" style="59" customWidth="1"/>
    <col min="16151" max="16151" width="9.85546875" style="59" customWidth="1"/>
    <col min="16152" max="16153" width="9.42578125" style="59" customWidth="1"/>
    <col min="16154" max="16154" width="9.85546875" style="59" customWidth="1"/>
    <col min="16155" max="16156" width="9.28515625" style="59" customWidth="1"/>
    <col min="16157" max="16157" width="9.85546875" style="59" customWidth="1"/>
    <col min="16158" max="16158" width="9.28515625" style="59" customWidth="1"/>
    <col min="16159" max="16159" width="10.42578125" style="59" customWidth="1"/>
    <col min="16160" max="16160" width="5.28515625" style="59" bestFit="1" customWidth="1"/>
    <col min="16161" max="16161" width="9.7109375" style="59" bestFit="1" customWidth="1"/>
    <col min="16162" max="16162" width="11" style="59" bestFit="1" customWidth="1"/>
    <col min="16163" max="16163" width="10.85546875" style="59" bestFit="1" customWidth="1"/>
    <col min="16164" max="16164" width="9.140625" style="59"/>
    <col min="16165" max="16165" width="3.85546875" style="59" bestFit="1" customWidth="1"/>
    <col min="16166" max="16166" width="7.28515625" style="59" bestFit="1" customWidth="1"/>
    <col min="16167" max="16169" width="9.140625" style="59"/>
    <col min="16170" max="16170" width="9.28515625" style="59" customWidth="1"/>
    <col min="16171" max="16171" width="9.28515625" style="59" bestFit="1" customWidth="1"/>
    <col min="16172" max="16384" width="9.140625" style="59"/>
  </cols>
  <sheetData>
    <row r="1" spans="1:33">
      <c r="A1" s="209"/>
      <c r="B1" s="209"/>
      <c r="C1" s="209"/>
      <c r="D1" s="209"/>
      <c r="E1" s="210" t="s">
        <v>270</v>
      </c>
      <c r="F1" s="209"/>
      <c r="G1" s="209"/>
      <c r="H1" s="209"/>
      <c r="I1" s="209"/>
      <c r="J1" s="209"/>
      <c r="K1" s="209"/>
      <c r="L1" s="209"/>
      <c r="M1" s="209"/>
      <c r="N1" s="209"/>
      <c r="O1" s="209"/>
      <c r="U1" s="112" t="s">
        <v>271</v>
      </c>
    </row>
    <row r="2" spans="1:33">
      <c r="A2" s="209"/>
      <c r="B2" s="209"/>
      <c r="C2" s="209"/>
      <c r="D2" s="209"/>
      <c r="E2" s="209"/>
      <c r="F2" s="209"/>
      <c r="G2" s="209"/>
      <c r="H2" s="209"/>
      <c r="I2" s="209"/>
      <c r="J2" s="209"/>
      <c r="K2" s="209"/>
      <c r="L2" s="209"/>
      <c r="M2" s="209"/>
      <c r="N2" s="209"/>
      <c r="O2" s="209"/>
      <c r="U2" s="112" t="s">
        <v>272</v>
      </c>
    </row>
    <row r="3" spans="1:33">
      <c r="A3" s="211" t="s">
        <v>273</v>
      </c>
      <c r="B3" s="707" t="s">
        <v>274</v>
      </c>
      <c r="C3" s="707"/>
      <c r="D3" s="707"/>
      <c r="E3" s="707"/>
      <c r="F3" s="707"/>
      <c r="G3" s="707"/>
      <c r="H3" s="707"/>
      <c r="I3" s="707"/>
      <c r="J3" s="707"/>
      <c r="K3" s="707"/>
      <c r="L3" s="707" t="s">
        <v>275</v>
      </c>
      <c r="M3" s="707"/>
      <c r="N3" s="708" t="s">
        <v>276</v>
      </c>
      <c r="O3" s="709"/>
      <c r="P3" s="212"/>
      <c r="Q3" s="100" t="s">
        <v>136</v>
      </c>
      <c r="R3" s="213" t="s">
        <v>137</v>
      </c>
      <c r="S3" s="100" t="s">
        <v>277</v>
      </c>
      <c r="T3" s="100" t="s">
        <v>278</v>
      </c>
      <c r="U3" s="100" t="s">
        <v>279</v>
      </c>
      <c r="V3" s="100" t="s">
        <v>280</v>
      </c>
      <c r="W3" s="100" t="s">
        <v>281</v>
      </c>
      <c r="X3" s="100" t="s">
        <v>282</v>
      </c>
      <c r="Y3" s="100" t="s">
        <v>283</v>
      </c>
      <c r="Z3" s="100" t="s">
        <v>284</v>
      </c>
      <c r="AA3" s="100" t="s">
        <v>285</v>
      </c>
      <c r="AB3" s="100" t="s">
        <v>286</v>
      </c>
      <c r="AC3" s="100" t="s">
        <v>287</v>
      </c>
      <c r="AD3" s="100" t="s">
        <v>288</v>
      </c>
      <c r="AE3" s="100" t="s">
        <v>289</v>
      </c>
    </row>
    <row r="4" spans="1:33" s="92" customFormat="1">
      <c r="A4" s="214" t="s">
        <v>290</v>
      </c>
      <c r="B4" s="214">
        <v>2016</v>
      </c>
      <c r="C4" s="215" t="s">
        <v>291</v>
      </c>
      <c r="D4" s="214">
        <v>2017</v>
      </c>
      <c r="E4" s="214"/>
      <c r="F4" s="214">
        <v>2018</v>
      </c>
      <c r="G4" s="215" t="s">
        <v>291</v>
      </c>
      <c r="H4" s="214">
        <v>2019</v>
      </c>
      <c r="I4" s="215" t="s">
        <v>291</v>
      </c>
      <c r="J4" s="214">
        <v>2020</v>
      </c>
      <c r="K4" s="214" t="s">
        <v>291</v>
      </c>
      <c r="L4" s="214">
        <v>2021</v>
      </c>
      <c r="M4" s="214" t="s">
        <v>291</v>
      </c>
      <c r="N4" s="214">
        <v>2022</v>
      </c>
      <c r="O4" s="214">
        <v>2023</v>
      </c>
      <c r="P4" s="63"/>
      <c r="Q4" s="100">
        <v>1</v>
      </c>
      <c r="R4" s="107" t="s">
        <v>140</v>
      </c>
      <c r="S4" s="45">
        <f>4189000/12</f>
        <v>349083.33333333331</v>
      </c>
      <c r="T4" s="45">
        <f t="shared" ref="T4:AD4" si="0">4189000/12</f>
        <v>349083.33333333331</v>
      </c>
      <c r="U4" s="45">
        <f t="shared" si="0"/>
        <v>349083.33333333331</v>
      </c>
      <c r="V4" s="45">
        <f t="shared" si="0"/>
        <v>349083.33333333331</v>
      </c>
      <c r="W4" s="45">
        <f t="shared" si="0"/>
        <v>349083.33333333331</v>
      </c>
      <c r="X4" s="45">
        <f t="shared" si="0"/>
        <v>349083.33333333331</v>
      </c>
      <c r="Y4" s="45">
        <f t="shared" si="0"/>
        <v>349083.33333333331</v>
      </c>
      <c r="Z4" s="45">
        <f t="shared" si="0"/>
        <v>349083.33333333331</v>
      </c>
      <c r="AA4" s="45">
        <f t="shared" si="0"/>
        <v>349083.33333333331</v>
      </c>
      <c r="AB4" s="45">
        <f t="shared" si="0"/>
        <v>349083.33333333331</v>
      </c>
      <c r="AC4" s="45">
        <f t="shared" si="0"/>
        <v>349083.33333333331</v>
      </c>
      <c r="AD4" s="45">
        <f t="shared" si="0"/>
        <v>349083.33333333331</v>
      </c>
      <c r="AE4" s="45">
        <f>SUM(S4:AD4)</f>
        <v>4189000.0000000005</v>
      </c>
      <c r="AF4" s="216">
        <f>AE4/$AE$20</f>
        <v>2.9840898586058283E-2</v>
      </c>
      <c r="AG4" s="217"/>
    </row>
    <row r="5" spans="1:33">
      <c r="A5" s="211" t="s">
        <v>124</v>
      </c>
      <c r="B5" s="45">
        <f>14399728.14-6630054.7</f>
        <v>7769673.4400000004</v>
      </c>
      <c r="C5" s="218">
        <f>B5/B17</f>
        <v>8.4389930254241394E-2</v>
      </c>
      <c r="D5" s="45">
        <v>8128227.1699999999</v>
      </c>
      <c r="E5" s="218">
        <f>D5/D17</f>
        <v>7.7766631965007368E-2</v>
      </c>
      <c r="F5" s="45">
        <v>7522241.2699999996</v>
      </c>
      <c r="G5" s="218">
        <f>F5/F17</f>
        <v>7.9831482089003813E-2</v>
      </c>
      <c r="H5" s="45">
        <v>10690469.82</v>
      </c>
      <c r="I5" s="218">
        <f>H5/H17</f>
        <v>9.2128811723208082E-2</v>
      </c>
      <c r="J5" s="45">
        <v>10229896.279999999</v>
      </c>
      <c r="K5" s="218">
        <f>J5/J17</f>
        <v>8.258854573464873E-2</v>
      </c>
      <c r="L5" s="45">
        <v>11654886.960000001</v>
      </c>
      <c r="M5" s="218">
        <f>L5/L17</f>
        <v>8.3025137216384368E-2</v>
      </c>
      <c r="N5" s="219">
        <f>((F5+H5+J5+L5)/3.15)-354050.16</f>
        <v>12375313.119365079</v>
      </c>
      <c r="O5" s="219">
        <f>(H5+J5+L5+N5)/3.15</f>
        <v>14270021.009322248</v>
      </c>
      <c r="P5" s="220"/>
      <c r="Q5" s="100">
        <v>2</v>
      </c>
      <c r="R5" s="107" t="s">
        <v>141</v>
      </c>
      <c r="S5" s="221">
        <f>2321581.45*M5</f>
        <v>192749.6184452626</v>
      </c>
      <c r="T5" s="221">
        <f>2321581.45*M6</f>
        <v>196936.61091852901</v>
      </c>
      <c r="U5" s="221">
        <f>2321581.45*M7</f>
        <v>184177.54439341681</v>
      </c>
      <c r="V5" s="221">
        <f>2321581.45*M8</f>
        <v>191029.56501157704</v>
      </c>
      <c r="W5" s="221">
        <f>2321581.45*M9</f>
        <v>188976.50552174228</v>
      </c>
      <c r="X5" s="221">
        <f>2321581.45*M10</f>
        <v>171768.80709248682</v>
      </c>
      <c r="Y5" s="221">
        <f>2321581.45*M11</f>
        <v>200982.46253396393</v>
      </c>
      <c r="Z5" s="221">
        <f>2321581.45*M12</f>
        <v>175552.84605757133</v>
      </c>
      <c r="AA5" s="221">
        <f>2321581.45*M13</f>
        <v>173706.7347232232</v>
      </c>
      <c r="AB5" s="221">
        <f>2321581.45*M14</f>
        <v>188600.42831457994</v>
      </c>
      <c r="AC5" s="221">
        <f>2321581.45*M15</f>
        <v>176054.68560077678</v>
      </c>
      <c r="AD5" s="221">
        <f>2321581.45*M16</f>
        <v>281045.64138687</v>
      </c>
      <c r="AE5" s="45">
        <f>SUM(S5:AD5)</f>
        <v>2321581.4499999993</v>
      </c>
      <c r="AF5" s="216">
        <f t="shared" ref="AF5:AF19" si="1">AE5/$AE$20</f>
        <v>1.6538094201175486E-2</v>
      </c>
    </row>
    <row r="6" spans="1:33">
      <c r="A6" s="211" t="s">
        <v>125</v>
      </c>
      <c r="B6" s="45">
        <v>6630054.7000000002</v>
      </c>
      <c r="C6" s="218">
        <f>B6/B17</f>
        <v>7.2012016725738384E-2</v>
      </c>
      <c r="D6" s="45">
        <v>8406126.3200000003</v>
      </c>
      <c r="E6" s="218">
        <f>D6/D17</f>
        <v>8.0425425877805753E-2</v>
      </c>
      <c r="F6" s="45">
        <f>7197732.78</f>
        <v>7197732.7800000003</v>
      </c>
      <c r="G6" s="218">
        <f>F6/F17</f>
        <v>7.6387562547299906E-2</v>
      </c>
      <c r="H6" s="45">
        <f>8384491.75</f>
        <v>8384491.75</v>
      </c>
      <c r="I6" s="218">
        <f>H6/H17</f>
        <v>7.2256250177650416E-2</v>
      </c>
      <c r="J6" s="45">
        <f>10875208.14</f>
        <v>10875208.140000001</v>
      </c>
      <c r="K6" s="218">
        <f>J6/J17</f>
        <v>8.7798311953580663E-2</v>
      </c>
      <c r="L6" s="45">
        <v>11908059.57</v>
      </c>
      <c r="M6" s="218">
        <f>L6/L17</f>
        <v>8.4828645972567104E-2</v>
      </c>
      <c r="N6" s="219">
        <f t="shared" ref="N6:N16" si="2">(F6+H6+J6+L6)/3.15</f>
        <v>12179521.346031748</v>
      </c>
      <c r="O6" s="219">
        <f>(H6+J6+L6+N6)/3.15</f>
        <v>13761041.525724364</v>
      </c>
      <c r="P6" s="220"/>
      <c r="Q6" s="100">
        <v>3</v>
      </c>
      <c r="R6" s="107" t="s">
        <v>142</v>
      </c>
      <c r="S6" s="221">
        <f>1262392.3*M5</f>
        <v>104810.29392840706</v>
      </c>
      <c r="T6" s="221">
        <f>1262392.3*M6</f>
        <v>107087.02949519473</v>
      </c>
      <c r="U6" s="221">
        <f>1262392.3*M7</f>
        <v>100149.10908043203</v>
      </c>
      <c r="V6" s="221">
        <f>1262392.3*M8</f>
        <v>103874.99087872375</v>
      </c>
      <c r="W6" s="221">
        <f>1262392.3*M9</f>
        <v>102758.61114050292</v>
      </c>
      <c r="X6" s="221">
        <f>1262392.3*M10</f>
        <v>93401.685068486724</v>
      </c>
      <c r="Y6" s="221">
        <f>1262392.3*M11</f>
        <v>109287.01775159108</v>
      </c>
      <c r="Z6" s="221">
        <f>1262392.3*M12</f>
        <v>95459.309043912013</v>
      </c>
      <c r="AA6" s="221">
        <f>1262392.3*M13</f>
        <v>94455.460252208504</v>
      </c>
      <c r="AB6" s="221">
        <f>1262392.3*M14</f>
        <v>102554.11391275017</v>
      </c>
      <c r="AC6" s="221">
        <f>1262392.3*M15</f>
        <v>95732.191296299963</v>
      </c>
      <c r="AD6" s="221">
        <f>1262392.3*M16</f>
        <v>152822.48815149086</v>
      </c>
      <c r="AE6" s="45">
        <f t="shared" ref="AE6:AE18" si="3">SUM(S6:AD6)</f>
        <v>1262392.2999999998</v>
      </c>
      <c r="AF6" s="216">
        <f t="shared" si="1"/>
        <v>8.9928194318741606E-3</v>
      </c>
    </row>
    <row r="7" spans="1:33">
      <c r="A7" s="211" t="s">
        <v>126</v>
      </c>
      <c r="B7" s="45">
        <v>6582277.29</v>
      </c>
      <c r="C7" s="218">
        <f>B7/B17</f>
        <v>7.1493084710285718E-2</v>
      </c>
      <c r="D7" s="45">
        <f>8078817.9</f>
        <v>8078817.9000000004</v>
      </c>
      <c r="E7" s="218">
        <f>D7/D17</f>
        <v>7.7293909877473782E-2</v>
      </c>
      <c r="F7" s="45">
        <v>7899052.6200000001</v>
      </c>
      <c r="G7" s="218">
        <f>F7/F17</f>
        <v>8.3830477529156511E-2</v>
      </c>
      <c r="H7" s="45">
        <v>8599525.3800000008</v>
      </c>
      <c r="I7" s="218">
        <f>H7/H17</f>
        <v>7.4109376667504542E-2</v>
      </c>
      <c r="J7" s="45">
        <v>9752914.3900000006</v>
      </c>
      <c r="K7" s="218">
        <f>J7/J17</f>
        <v>7.8737750031677628E-2</v>
      </c>
      <c r="L7" s="219">
        <f>((D7+F7+H7+J7)/3.15)+238052.79</f>
        <v>11136563.993174603</v>
      </c>
      <c r="M7" s="218">
        <f>L7/L17</f>
        <v>7.9332794631614925E-2</v>
      </c>
      <c r="N7" s="219">
        <f t="shared" si="2"/>
        <v>11869224.24862686</v>
      </c>
      <c r="O7" s="219">
        <f t="shared" ref="O7:O16" si="4">(H7+J7+L7+N7)/3.15</f>
        <v>13129596.194222689</v>
      </c>
      <c r="P7" s="220"/>
      <c r="Q7" s="100">
        <v>4</v>
      </c>
      <c r="R7" s="107" t="s">
        <v>143</v>
      </c>
      <c r="S7" s="221">
        <f>1831204.8*M5</f>
        <v>152036.0297913017</v>
      </c>
      <c r="T7" s="221">
        <f>1831204.8*M6</f>
        <v>155338.62368246555</v>
      </c>
      <c r="U7" s="221">
        <f>1831204.8*M7</f>
        <v>145274.5943268275</v>
      </c>
      <c r="V7" s="221">
        <f>1831204.8*M8</f>
        <v>150679.29509477771</v>
      </c>
      <c r="W7" s="221">
        <f>1831204.8*M9</f>
        <v>149059.89363355783</v>
      </c>
      <c r="X7" s="221">
        <f>1831204.8*M10</f>
        <v>135486.89581321212</v>
      </c>
      <c r="Y7" s="221">
        <f>1831204.8*M11</f>
        <v>158529.88923047041</v>
      </c>
      <c r="Z7" s="221">
        <f>1831204.8*M12</f>
        <v>138471.65015652828</v>
      </c>
      <c r="AA7" s="221">
        <f>1831204.8*M13</f>
        <v>137015.48417243469</v>
      </c>
      <c r="AB7" s="221">
        <f>1831204.8*M14</f>
        <v>148763.25343300562</v>
      </c>
      <c r="AC7" s="221">
        <f>1831204.8*M15</f>
        <v>138867.48851074482</v>
      </c>
      <c r="AD7" s="221">
        <f>1831204.8*M16</f>
        <v>221681.70215467346</v>
      </c>
      <c r="AE7" s="45">
        <f t="shared" si="3"/>
        <v>1831204.7999999998</v>
      </c>
      <c r="AF7" s="216">
        <f t="shared" si="1"/>
        <v>1.3044830920769428E-2</v>
      </c>
    </row>
    <row r="8" spans="1:33">
      <c r="A8" s="211" t="s">
        <v>127</v>
      </c>
      <c r="B8" s="45">
        <v>7609123.75</v>
      </c>
      <c r="C8" s="218">
        <f>B8/B17</f>
        <v>8.2646127603323266E-2</v>
      </c>
      <c r="D8" s="45">
        <v>8695190.5800000001</v>
      </c>
      <c r="E8" s="218">
        <f>D8/D17</f>
        <v>8.3191041731238799E-2</v>
      </c>
      <c r="F8" s="45">
        <v>7799663.9400000004</v>
      </c>
      <c r="G8" s="218">
        <f>F8/F17</f>
        <v>8.2775692745941265E-2</v>
      </c>
      <c r="H8" s="45">
        <f>10080023.23</f>
        <v>10080023.23</v>
      </c>
      <c r="I8" s="218">
        <f>H8/H17</f>
        <v>8.6868077639101718E-2</v>
      </c>
      <c r="J8" s="45">
        <f>9810398.72</f>
        <v>9810398.7200000007</v>
      </c>
      <c r="K8" s="218">
        <f>J8/J17</f>
        <v>7.9201835598851203E-2</v>
      </c>
      <c r="L8" s="219">
        <f>((D8+F8+H8+J8)/3.15)</f>
        <v>11550881.419047618</v>
      </c>
      <c r="M8" s="218">
        <f>L8/L17</f>
        <v>8.228423991395048E-2</v>
      </c>
      <c r="N8" s="219">
        <f t="shared" si="2"/>
        <v>12457449.939380197</v>
      </c>
      <c r="O8" s="219">
        <f t="shared" si="4"/>
        <v>13936112.161405656</v>
      </c>
      <c r="P8" s="220"/>
      <c r="Q8" s="100">
        <v>5</v>
      </c>
      <c r="R8" s="107" t="s">
        <v>144</v>
      </c>
      <c r="S8" s="221">
        <f>7750365.63*M5</f>
        <v>643475.16990789922</v>
      </c>
      <c r="T8" s="221">
        <f>7750365.63*M6</f>
        <v>657453.02218522201</v>
      </c>
      <c r="U8" s="221">
        <f>7750365.63*M7</f>
        <v>614858.16484471678</v>
      </c>
      <c r="V8" s="221">
        <f>7750365.63*M8</f>
        <v>637732.94491975592</v>
      </c>
      <c r="W8" s="221">
        <f>7750365.63*M9</f>
        <v>630879.01278381445</v>
      </c>
      <c r="X8" s="221">
        <f>7750365.63*M10</f>
        <v>573432.84630212304</v>
      </c>
      <c r="Y8" s="221">
        <f>7750365.63*M11</f>
        <v>670959.68993721786</v>
      </c>
      <c r="Z8" s="221">
        <f>7750365.63*M12</f>
        <v>586065.47891450534</v>
      </c>
      <c r="AA8" s="221">
        <f>7750365.63*M13</f>
        <v>579902.42233301641</v>
      </c>
      <c r="AB8" s="221">
        <f>7750365.63*M14</f>
        <v>629623.51694040245</v>
      </c>
      <c r="AC8" s="221">
        <f>7750365.63*M15</f>
        <v>587740.81963857694</v>
      </c>
      <c r="AD8" s="221">
        <f>7750365.63*M16</f>
        <v>938242.54129274783</v>
      </c>
      <c r="AE8" s="45">
        <f t="shared" si="3"/>
        <v>7750365.629999998</v>
      </c>
      <c r="AF8" s="216">
        <f t="shared" si="1"/>
        <v>5.5210760269682892E-2</v>
      </c>
    </row>
    <row r="9" spans="1:33">
      <c r="A9" s="211" t="s">
        <v>292</v>
      </c>
      <c r="B9" s="45">
        <v>7587298.8799999999</v>
      </c>
      <c r="C9" s="218">
        <f>B9/B17</f>
        <v>8.2409077839091752E-2</v>
      </c>
      <c r="D9" s="45">
        <f>8219532.42</f>
        <v>8219532.4199999999</v>
      </c>
      <c r="E9" s="218">
        <f>D9/D17</f>
        <v>7.8640192905753442E-2</v>
      </c>
      <c r="F9" s="45">
        <f>7664973.99</f>
        <v>7664973.9900000002</v>
      </c>
      <c r="G9" s="218">
        <f>F9/F17</f>
        <v>8.1346265272792179E-2</v>
      </c>
      <c r="H9" s="45">
        <f>9454030.45</f>
        <v>9454030.4499999993</v>
      </c>
      <c r="I9" s="218">
        <f>H9/H17</f>
        <v>8.1473368899471446E-2</v>
      </c>
      <c r="J9" s="45">
        <f>10655694.71</f>
        <v>10655694.710000001</v>
      </c>
      <c r="K9" s="218">
        <f>J9/J17</f>
        <v>8.6026124391095957E-2</v>
      </c>
      <c r="L9" s="219">
        <f t="shared" ref="L9:L16" si="5">((D9+F9+H9+J9)/3.15)</f>
        <v>11426740.180952381</v>
      </c>
      <c r="M9" s="218">
        <f>L9/L17</f>
        <v>8.139990329511905E-2</v>
      </c>
      <c r="N9" s="219">
        <f t="shared" si="2"/>
        <v>12444901.374905517</v>
      </c>
      <c r="O9" s="219">
        <f>((H9+J9+L9+N9)/3.15)-5409.33</f>
        <v>13956929.309954889</v>
      </c>
      <c r="P9" s="220"/>
      <c r="Q9" s="100">
        <v>6</v>
      </c>
      <c r="R9" s="107" t="s">
        <v>145</v>
      </c>
      <c r="S9" s="221">
        <f>3547551.94*M5</f>
        <v>294535.98660075053</v>
      </c>
      <c r="T9" s="221">
        <f>3547551.94*M6</f>
        <v>300934.0275875536</v>
      </c>
      <c r="U9" s="221">
        <f>3547551.94*M7</f>
        <v>281437.20950100711</v>
      </c>
      <c r="V9" s="221">
        <f>3547551.94*M8</f>
        <v>291907.61493816046</v>
      </c>
      <c r="W9" s="221">
        <f>3547551.94*M9</f>
        <v>288770.38485041197</v>
      </c>
      <c r="X9" s="221">
        <f>3547551.94*M10</f>
        <v>262475.72094980226</v>
      </c>
      <c r="Y9" s="221">
        <f>3547551.94*M11</f>
        <v>307116.39467499236</v>
      </c>
      <c r="Z9" s="221">
        <f>3547551.94*M12</f>
        <v>268258.01851753186</v>
      </c>
      <c r="AA9" s="221">
        <f>3547551.94*M13</f>
        <v>265437.02085422666</v>
      </c>
      <c r="AB9" s="221">
        <f>3547551.94*M14</f>
        <v>288195.7104508304</v>
      </c>
      <c r="AC9" s="221">
        <f>3547551.94*M15</f>
        <v>269024.86727274879</v>
      </c>
      <c r="AD9" s="221">
        <f>3547551.94*M16</f>
        <v>429458.98380198324</v>
      </c>
      <c r="AE9" s="45">
        <f t="shared" si="3"/>
        <v>3547551.939999999</v>
      </c>
      <c r="AF9" s="216">
        <f t="shared" si="1"/>
        <v>2.5271458025856834E-2</v>
      </c>
    </row>
    <row r="10" spans="1:33">
      <c r="A10" s="211" t="s">
        <v>293</v>
      </c>
      <c r="B10" s="45">
        <v>6475322.6299999999</v>
      </c>
      <c r="C10" s="218">
        <f>B10/B17</f>
        <v>7.033140187155805E-2</v>
      </c>
      <c r="D10" s="45">
        <v>7486671.6799999997</v>
      </c>
      <c r="E10" s="218">
        <f>D10/D17</f>
        <v>7.1628564138839571E-2</v>
      </c>
      <c r="F10" s="45">
        <f>7453635.72+55.15</f>
        <v>7453690.8700000001</v>
      </c>
      <c r="G10" s="218">
        <f>F10/F17</f>
        <v>7.9103975507738039E-2</v>
      </c>
      <c r="H10" s="45">
        <f>8906802.9</f>
        <v>8906802.9000000004</v>
      </c>
      <c r="I10" s="218">
        <f>H10/H17</f>
        <v>7.6757446702171578E-2</v>
      </c>
      <c r="J10" s="45">
        <f>8869527.04</f>
        <v>8869527.0399999991</v>
      </c>
      <c r="K10" s="218">
        <f>J10/J17</f>
        <v>7.1605940034784363E-2</v>
      </c>
      <c r="L10" s="219">
        <f t="shared" si="5"/>
        <v>10386251.584126985</v>
      </c>
      <c r="M10" s="218">
        <f>L10/L17</f>
        <v>7.3987844403428885E-2</v>
      </c>
      <c r="N10" s="219">
        <f t="shared" si="2"/>
        <v>11306753.140992694</v>
      </c>
      <c r="O10" s="219">
        <f t="shared" si="4"/>
        <v>12529947.512736406</v>
      </c>
      <c r="P10" s="220"/>
      <c r="Q10" s="100">
        <v>7</v>
      </c>
      <c r="R10" s="107" t="s">
        <v>146</v>
      </c>
      <c r="S10" s="221">
        <f>1229036.08*M5</f>
        <v>102040.88918588716</v>
      </c>
      <c r="T10" s="221">
        <f>1229036.08*M6</f>
        <v>104257.46651783166</v>
      </c>
      <c r="U10" s="221">
        <f>1229036.08*M7</f>
        <v>97502.866929485055</v>
      </c>
      <c r="V10" s="221">
        <f>1229036.08*M8</f>
        <v>101130.29966962124</v>
      </c>
      <c r="W10" s="221">
        <f>1229036.08*M9</f>
        <v>100043.41805821221</v>
      </c>
      <c r="X10" s="221">
        <f>1229036.08*M10</f>
        <v>90933.730253240181</v>
      </c>
      <c r="Y10" s="221">
        <f>1229036.08*M11</f>
        <v>106399.32443528522</v>
      </c>
      <c r="Z10" s="221">
        <f>1229036.08*M12</f>
        <v>92936.985584305439</v>
      </c>
      <c r="AA10" s="221">
        <f>1229036.08*M13</f>
        <v>91959.661511695027</v>
      </c>
      <c r="AB10" s="221">
        <f>1229036.08*M14</f>
        <v>99844.324265285773</v>
      </c>
      <c r="AC10" s="221">
        <f>1229036.08*M15</f>
        <v>93202.657462830393</v>
      </c>
      <c r="AD10" s="221">
        <f>1229036.08*M16</f>
        <v>148784.45612632047</v>
      </c>
      <c r="AE10" s="45">
        <f t="shared" si="3"/>
        <v>1229036.0799999996</v>
      </c>
      <c r="AF10" s="216">
        <f t="shared" si="1"/>
        <v>8.7552019627325384E-3</v>
      </c>
    </row>
    <row r="11" spans="1:33">
      <c r="A11" s="211" t="s">
        <v>294</v>
      </c>
      <c r="B11" s="45">
        <v>6763469.2400000002</v>
      </c>
      <c r="C11" s="218">
        <f>B11/B17</f>
        <v>7.3461092264426889E-2</v>
      </c>
      <c r="D11" s="45">
        <v>9406077.1500000004</v>
      </c>
      <c r="E11" s="218">
        <f>D11/D17</f>
        <v>8.999243311730859E-2</v>
      </c>
      <c r="F11" s="45">
        <v>8077958.0199999996</v>
      </c>
      <c r="G11" s="218">
        <f>F11/F17</f>
        <v>8.57291514380467E-2</v>
      </c>
      <c r="H11" s="45">
        <v>9979327.3900000006</v>
      </c>
      <c r="I11" s="218">
        <f>H11/H17</f>
        <v>8.6000296499369702E-2</v>
      </c>
      <c r="J11" s="45">
        <f>10817635.8</f>
        <v>10817635.800000001</v>
      </c>
      <c r="K11" s="218">
        <f>J11/J17</f>
        <v>8.7333515859368382E-2</v>
      </c>
      <c r="L11" s="219">
        <f t="shared" si="5"/>
        <v>12152697.892063493</v>
      </c>
      <c r="M11" s="218">
        <f>L11/L17</f>
        <v>8.6571359593678662E-2</v>
      </c>
      <c r="N11" s="219">
        <f t="shared" si="2"/>
        <v>13024640.984782061</v>
      </c>
      <c r="O11" s="219">
        <f t="shared" si="4"/>
        <v>14595016.52915732</v>
      </c>
      <c r="P11" s="220"/>
      <c r="Q11" s="100">
        <v>8</v>
      </c>
      <c r="R11" s="107" t="s">
        <v>147</v>
      </c>
      <c r="S11" s="221">
        <f>12475764.3*M5</f>
        <v>1035802.0428867695</v>
      </c>
      <c r="T11" s="221">
        <f>12475764.3*M6</f>
        <v>1058302.1930418916</v>
      </c>
      <c r="U11" s="221">
        <f>12475764.3*M7</f>
        <v>989737.24708433321</v>
      </c>
      <c r="V11" s="221">
        <f>12475764.3*M8</f>
        <v>1026558.7827710985</v>
      </c>
      <c r="W11" s="221">
        <f>12475764.3*M9</f>
        <v>1015526.0075526987</v>
      </c>
      <c r="X11" s="221">
        <f>12475764.3*M10</f>
        <v>923054.90784225299</v>
      </c>
      <c r="Y11" s="221">
        <f>12475764.3*M11</f>
        <v>1080043.8774212787</v>
      </c>
      <c r="Z11" s="221">
        <f>12475764.3*M12</f>
        <v>943389.65777334408</v>
      </c>
      <c r="AA11" s="221">
        <f>12475764.3*M13</f>
        <v>933468.98500139138</v>
      </c>
      <c r="AB11" s="221">
        <f>12475764.3*M14</f>
        <v>1013505.0357728115</v>
      </c>
      <c r="AC11" s="221">
        <f>12475764.3*M15</f>
        <v>946086.45389800763</v>
      </c>
      <c r="AD11" s="221">
        <f>12475764.3*M16</f>
        <v>1510289.1089541204</v>
      </c>
      <c r="AE11" s="45">
        <f t="shared" si="3"/>
        <v>12475764.299999997</v>
      </c>
      <c r="AF11" s="216">
        <f t="shared" si="1"/>
        <v>8.8872766115986226E-2</v>
      </c>
    </row>
    <row r="12" spans="1:33">
      <c r="A12" s="211" t="s">
        <v>295</v>
      </c>
      <c r="B12" s="45">
        <v>6706244.7400000002</v>
      </c>
      <c r="C12" s="218">
        <f>B12/B17</f>
        <v>7.2839551140320924E-2</v>
      </c>
      <c r="D12" s="45">
        <f>7641217.97</f>
        <v>7641217.9699999997</v>
      </c>
      <c r="E12" s="218">
        <f>D12/D17</f>
        <v>7.3107182317763739E-2</v>
      </c>
      <c r="F12" s="45">
        <v>7400073.3700000001</v>
      </c>
      <c r="G12" s="218">
        <f>F12/F17</f>
        <v>7.8534947695777527E-2</v>
      </c>
      <c r="H12" s="45">
        <v>8879675.7799999993</v>
      </c>
      <c r="I12" s="218">
        <f>H12/H17</f>
        <v>7.6523669387128096E-2</v>
      </c>
      <c r="J12" s="45">
        <f>9516468.8</f>
        <v>9516468.8000000007</v>
      </c>
      <c r="K12" s="218">
        <f>J12/J17</f>
        <v>7.6828864849562084E-2</v>
      </c>
      <c r="L12" s="219">
        <f t="shared" si="5"/>
        <v>10615059.022222223</v>
      </c>
      <c r="M12" s="218">
        <f>L12/L17</f>
        <v>7.5617784617279443E-2</v>
      </c>
      <c r="N12" s="219">
        <f t="shared" si="2"/>
        <v>11559135.546737215</v>
      </c>
      <c r="O12" s="219">
        <f t="shared" si="4"/>
        <v>12879472.745701408</v>
      </c>
      <c r="P12" s="220"/>
      <c r="Q12" s="100">
        <v>9</v>
      </c>
      <c r="R12" s="107" t="s">
        <v>148</v>
      </c>
      <c r="S12" s="221">
        <f>38964505.89*M5</f>
        <v>3235033.4480858669</v>
      </c>
      <c r="T12" s="221">
        <f>38964505.89*M6</f>
        <v>3305306.2756388159</v>
      </c>
      <c r="U12" s="221">
        <f>38964505.89*M7</f>
        <v>3091163.14369372</v>
      </c>
      <c r="V12" s="221">
        <f>38964505.89*M8</f>
        <v>3206164.7507812968</v>
      </c>
      <c r="W12" s="221">
        <f>38964505.89*M9</f>
        <v>3171707.0113880965</v>
      </c>
      <c r="X12" s="221">
        <f>38964505.89*M10</f>
        <v>2882899.7990458081</v>
      </c>
      <c r="Y12" s="221">
        <f>38964505.89*M11</f>
        <v>3373210.2507932005</v>
      </c>
      <c r="Z12" s="221">
        <f>38964505.89*M12</f>
        <v>2946409.6141087362</v>
      </c>
      <c r="AA12" s="221">
        <f>38964505.89*M13</f>
        <v>2915425.2108000335</v>
      </c>
      <c r="AB12" s="221">
        <f>38964505.89*M14</f>
        <v>3165395.0801166045</v>
      </c>
      <c r="AC12" s="221">
        <f>38964505.89*M15</f>
        <v>2954832.2907445543</v>
      </c>
      <c r="AD12" s="221">
        <f>38964505.89*M16</f>
        <v>4716959.0148032596</v>
      </c>
      <c r="AE12" s="45">
        <f t="shared" si="3"/>
        <v>38964505.889999993</v>
      </c>
      <c r="AF12" s="216">
        <f t="shared" si="1"/>
        <v>0.27756883951285755</v>
      </c>
    </row>
    <row r="13" spans="1:33">
      <c r="A13" s="211" t="s">
        <v>296</v>
      </c>
      <c r="B13" s="45">
        <v>7994407.7000000002</v>
      </c>
      <c r="C13" s="218">
        <f>B13/B17</f>
        <v>8.6830870491124562E-2</v>
      </c>
      <c r="D13" s="45">
        <v>7402995.8799999999</v>
      </c>
      <c r="E13" s="218">
        <f>D13/D17</f>
        <v>7.0827997790621031E-2</v>
      </c>
      <c r="F13" s="45">
        <f>6729771.56</f>
        <v>6729771.5599999996</v>
      </c>
      <c r="G13" s="218">
        <f>F13/F17</f>
        <v>7.1421218553287272E-2</v>
      </c>
      <c r="H13" s="45">
        <f>8643003.18</f>
        <v>8643003.1799999997</v>
      </c>
      <c r="I13" s="218">
        <f>H13/H17</f>
        <v>7.4484061608183716E-2</v>
      </c>
      <c r="J13" s="45">
        <f>10310037.68</f>
        <v>10310037.68</v>
      </c>
      <c r="K13" s="218">
        <f>J13/J17</f>
        <v>8.3235547571028926E-2</v>
      </c>
      <c r="L13" s="219">
        <f t="shared" si="5"/>
        <v>10503431.206349205</v>
      </c>
      <c r="M13" s="218">
        <f>L13/L17</f>
        <v>7.4822589025779471E-2</v>
      </c>
      <c r="N13" s="219">
        <f t="shared" si="2"/>
        <v>11487696.389317207</v>
      </c>
      <c r="O13" s="219">
        <f>(H13+J13+L13+N13)/3.15</f>
        <v>12998148.716084573</v>
      </c>
      <c r="P13" s="220"/>
      <c r="Q13" s="100">
        <v>10</v>
      </c>
      <c r="R13" s="107" t="s">
        <v>297</v>
      </c>
      <c r="S13" s="221">
        <f>27215844.71*M5</f>
        <v>2259599.2415075586</v>
      </c>
      <c r="T13" s="221">
        <f>27215844.71*M6</f>
        <v>2308683.2557489532</v>
      </c>
      <c r="U13" s="221">
        <f>27215844.71*M7</f>
        <v>2159109.0191043536</v>
      </c>
      <c r="V13" s="221">
        <f>27215844.71*M8</f>
        <v>2239435.09557846</v>
      </c>
      <c r="W13" s="221">
        <f>27215844.71*M9</f>
        <v>2215367.1274889773</v>
      </c>
      <c r="X13" s="221">
        <f>27215844.71*M10</f>
        <v>2013641.6837113632</v>
      </c>
      <c r="Y13" s="221">
        <f>27215844.71*M11</f>
        <v>2356112.6790351272</v>
      </c>
      <c r="Z13" s="221">
        <f>27215844.71*M12</f>
        <v>2058001.8834581042</v>
      </c>
      <c r="AA13" s="221">
        <f>27215844.71*M13</f>
        <v>2036359.9637257643</v>
      </c>
      <c r="AB13" s="221">
        <f>27215844.71*M14</f>
        <v>2210958.3832387594</v>
      </c>
      <c r="AC13" s="221">
        <f>27215844.71*M15</f>
        <v>2063884.9366144845</v>
      </c>
      <c r="AD13" s="221">
        <f>27215844.71*M16</f>
        <v>3294691.4407880898</v>
      </c>
      <c r="AE13" s="45">
        <f t="shared" si="3"/>
        <v>27215844.709999997</v>
      </c>
      <c r="AF13" s="216">
        <f t="shared" si="1"/>
        <v>0.19387568916806414</v>
      </c>
    </row>
    <row r="14" spans="1:33">
      <c r="A14" s="211" t="s">
        <v>298</v>
      </c>
      <c r="B14" s="45">
        <v>8256815.9400000004</v>
      </c>
      <c r="C14" s="218">
        <f>B14/B17</f>
        <v>8.9681004829812838E-2</v>
      </c>
      <c r="D14" s="45">
        <v>9451675.9000000004</v>
      </c>
      <c r="E14" s="218">
        <f>D14/D17</f>
        <v>9.0428698139822031E-2</v>
      </c>
      <c r="F14" s="45">
        <f>7115297.7</f>
        <v>7115297.7000000002</v>
      </c>
      <c r="G14" s="218">
        <f>F14/F17</f>
        <v>7.5512701667900653E-2</v>
      </c>
      <c r="H14" s="45">
        <f>10001253.91</f>
        <v>10001253.91</v>
      </c>
      <c r="I14" s="218">
        <f>H14/H17</f>
        <v>8.6189255849785332E-2</v>
      </c>
      <c r="J14" s="45">
        <v>9354372.8800000008</v>
      </c>
      <c r="K14" s="218">
        <f>J14/J17</f>
        <v>7.5520223399453468E-2</v>
      </c>
      <c r="L14" s="219">
        <f t="shared" si="5"/>
        <v>11404000.123809524</v>
      </c>
      <c r="M14" s="218">
        <f>L14/L17</f>
        <v>8.1237911473913585E-2</v>
      </c>
      <c r="N14" s="219">
        <f t="shared" si="2"/>
        <v>12023785.591685563</v>
      </c>
      <c r="O14" s="219">
        <f t="shared" si="4"/>
        <v>13582035.716030186</v>
      </c>
      <c r="P14" s="220"/>
      <c r="Q14" s="100">
        <v>11</v>
      </c>
      <c r="R14" s="107" t="s">
        <v>150</v>
      </c>
      <c r="S14" s="221">
        <f>4170062.01*M5</f>
        <v>346219.97058108158</v>
      </c>
      <c r="T14" s="221">
        <f>4170062.01*M6</f>
        <v>353740.71392994159</v>
      </c>
      <c r="U14" s="221">
        <f>4170062.01*M7</f>
        <v>330822.6730404293</v>
      </c>
      <c r="V14" s="221">
        <f>4170062.01*M8</f>
        <v>343130.38288689055</v>
      </c>
      <c r="W14" s="221">
        <f>4170062.01*M9</f>
        <v>339442.64434864977</v>
      </c>
      <c r="X14" s="221">
        <f>4170062.01*M10</f>
        <v>308533.89914852986</v>
      </c>
      <c r="Y14" s="221">
        <f>4170062.01*M11</f>
        <v>361007.93779564841</v>
      </c>
      <c r="Z14" s="221">
        <f>4170062.01*M12</f>
        <v>315330.8509128794</v>
      </c>
      <c r="AA14" s="221">
        <f>4170062.01*M13</f>
        <v>312014.83598624589</v>
      </c>
      <c r="AB14" s="221">
        <f>4170062.01*M14</f>
        <v>338767.12840911013</v>
      </c>
      <c r="AC14" s="221">
        <f>4170062.01*M15</f>
        <v>316232.2631869294</v>
      </c>
      <c r="AD14" s="221">
        <f>4170062.01*M16</f>
        <v>504818.70977366314</v>
      </c>
      <c r="AE14" s="45">
        <f t="shared" si="3"/>
        <v>4170062.0099999984</v>
      </c>
      <c r="AF14" s="216">
        <f t="shared" si="1"/>
        <v>2.9705991295770902E-2</v>
      </c>
    </row>
    <row r="15" spans="1:33">
      <c r="A15" s="211" t="s">
        <v>299</v>
      </c>
      <c r="B15" s="45">
        <v>7544593.7400000002</v>
      </c>
      <c r="C15" s="218">
        <f>B15/B17</f>
        <v>8.1945238037595847E-2</v>
      </c>
      <c r="D15" s="45">
        <v>8798730.4900000002</v>
      </c>
      <c r="E15" s="218">
        <f>D15/D17</f>
        <v>8.4181657508364025E-2</v>
      </c>
      <c r="F15" s="45">
        <v>8267235.1900000004</v>
      </c>
      <c r="G15" s="218">
        <f>F15/F17</f>
        <v>8.7737898095372718E-2</v>
      </c>
      <c r="H15" s="45">
        <v>7399552.2000000002</v>
      </c>
      <c r="I15" s="218">
        <f>H15/H17</f>
        <v>6.3768193816373372E-2</v>
      </c>
      <c r="J15" s="45">
        <f>9067503.09</f>
        <v>9067503.0899999999</v>
      </c>
      <c r="K15" s="218">
        <f>J15/J17</f>
        <v>7.3204250869250628E-2</v>
      </c>
      <c r="L15" s="219">
        <f t="shared" si="5"/>
        <v>10645403.482539682</v>
      </c>
      <c r="M15" s="218">
        <f>L15/L17</f>
        <v>7.58339474157914E-2</v>
      </c>
      <c r="N15" s="219">
        <f t="shared" si="2"/>
        <v>11231648.876996724</v>
      </c>
      <c r="O15" s="219">
        <f t="shared" si="4"/>
        <v>12172732.587154416</v>
      </c>
      <c r="P15" s="220"/>
      <c r="Q15" s="100">
        <v>12</v>
      </c>
      <c r="R15" s="107" t="s">
        <v>151</v>
      </c>
      <c r="S15" s="221">
        <f>1810655.75*M5</f>
        <v>150329.94209538534</v>
      </c>
      <c r="T15" s="221">
        <f>1810655.75*M6</f>
        <v>153595.47559494298</v>
      </c>
      <c r="U15" s="221">
        <f>1810655.75*M7</f>
        <v>143644.3807633027</v>
      </c>
      <c r="V15" s="221">
        <f>1810655.75*M8</f>
        <v>148988.43213457393</v>
      </c>
      <c r="W15" s="221">
        <f>1810655.75*M9</f>
        <v>147387.20295075126</v>
      </c>
      <c r="X15" s="221">
        <f>1810655.75*M10</f>
        <v>133966.51589917383</v>
      </c>
      <c r="Y15" s="221">
        <f>1810655.75*M11</f>
        <v>156750.93003361192</v>
      </c>
      <c r="Z15" s="221">
        <f>1810655.75*M12</f>
        <v>136917.77651953857</v>
      </c>
      <c r="AA15" s="221">
        <f>1810655.75*M13</f>
        <v>135477.95104941449</v>
      </c>
      <c r="AB15" s="221">
        <f>1810655.75*M14</f>
        <v>147093.89152823261</v>
      </c>
      <c r="AC15" s="221">
        <f>1810655.75*M15</f>
        <v>137309.17293360035</v>
      </c>
      <c r="AD15" s="221">
        <f>1810655.75*M16</f>
        <v>219194.07849747167</v>
      </c>
      <c r="AE15" s="45">
        <f t="shared" si="3"/>
        <v>1810655.7499999995</v>
      </c>
      <c r="AF15" s="216">
        <f t="shared" si="1"/>
        <v>1.2898447030320668E-2</v>
      </c>
    </row>
    <row r="16" spans="1:33">
      <c r="A16" s="211" t="s">
        <v>300</v>
      </c>
      <c r="B16" s="45">
        <f>12149444.83</f>
        <v>12149444.83</v>
      </c>
      <c r="C16" s="218">
        <f>B16/B17</f>
        <v>0.13196060423248027</v>
      </c>
      <c r="D16" s="45">
        <v>12805492.609999999</v>
      </c>
      <c r="E16" s="218">
        <f>D16/D17</f>
        <v>0.12251626463000193</v>
      </c>
      <c r="F16" s="45">
        <v>11098810.23</v>
      </c>
      <c r="G16" s="218">
        <f>F16/F17</f>
        <v>0.11778862685768351</v>
      </c>
      <c r="H16" s="45">
        <f>15020134.53</f>
        <v>15020134.529999999</v>
      </c>
      <c r="I16" s="218">
        <f>H16/H17</f>
        <v>0.12944119103005206</v>
      </c>
      <c r="J16" s="45">
        <v>14606142.369999999</v>
      </c>
      <c r="K16" s="218">
        <f>J16/J17</f>
        <v>0.11791908970669795</v>
      </c>
      <c r="L16" s="219">
        <f t="shared" si="5"/>
        <v>16993834.838095237</v>
      </c>
      <c r="M16" s="218">
        <f>L16/L17</f>
        <v>0.12105784244049243</v>
      </c>
      <c r="N16" s="219">
        <f t="shared" si="2"/>
        <v>18323467.291458804</v>
      </c>
      <c r="O16" s="219">
        <f t="shared" si="4"/>
        <v>20617009.215731442</v>
      </c>
      <c r="P16" s="220"/>
      <c r="Q16" s="100">
        <v>13</v>
      </c>
      <c r="R16" s="107" t="s">
        <v>152</v>
      </c>
      <c r="S16" s="221">
        <f>3009924.34*M5</f>
        <v>249899.38133943515</v>
      </c>
      <c r="T16" s="221">
        <f>3009924.34*M6</f>
        <v>255327.80624207269</v>
      </c>
      <c r="U16" s="221">
        <f>3009924.34*M7</f>
        <v>238785.70952191908</v>
      </c>
      <c r="V16" s="221">
        <f>3009924.34*M8</f>
        <v>247669.33651539905</v>
      </c>
      <c r="W16" s="221">
        <f>3009924.34*M9</f>
        <v>245007.55020162501</v>
      </c>
      <c r="X16" s="221">
        <f>3009924.34*M10</f>
        <v>222697.81373401335</v>
      </c>
      <c r="Y16" s="221">
        <f>3009924.34*M11</f>
        <v>260573.24238790589</v>
      </c>
      <c r="Z16" s="221">
        <f>3009924.34*M12</f>
        <v>227603.81045642696</v>
      </c>
      <c r="AA16" s="221">
        <f>3009924.34*M13</f>
        <v>225210.33189051051</v>
      </c>
      <c r="AB16" s="221">
        <f>3009924.34*M14</f>
        <v>244519.96707609776</v>
      </c>
      <c r="AC16" s="221">
        <f>3009924.34*M15</f>
        <v>228254.44412507061</v>
      </c>
      <c r="AD16" s="221">
        <f>3009924.34*M16</f>
        <v>364374.94650952314</v>
      </c>
      <c r="AE16" s="45">
        <f>SUM(S16:AD16)</f>
        <v>3009924.3399999994</v>
      </c>
      <c r="AF16" s="216">
        <f t="shared" si="1"/>
        <v>2.1441596319324036E-2</v>
      </c>
    </row>
    <row r="17" spans="1:32">
      <c r="A17" s="107" t="s">
        <v>264</v>
      </c>
      <c r="B17" s="219">
        <f>SUM(B5:B16)</f>
        <v>92068726.88000001</v>
      </c>
      <c r="C17" s="218">
        <f>B17/B17</f>
        <v>1</v>
      </c>
      <c r="D17" s="219">
        <f>SUM(D5:D16)</f>
        <v>104520756.06999999</v>
      </c>
      <c r="E17" s="218">
        <f>D17/D17</f>
        <v>1</v>
      </c>
      <c r="F17" s="175">
        <f>SUM(F5:F16)</f>
        <v>94226501.539999992</v>
      </c>
      <c r="G17" s="218">
        <f>F17/F17</f>
        <v>1</v>
      </c>
      <c r="H17" s="45">
        <f>SUM(H5:H16)</f>
        <v>116038290.52</v>
      </c>
      <c r="I17" s="218">
        <f>H17/H17</f>
        <v>1</v>
      </c>
      <c r="J17" s="45">
        <f>SUM(J5:J16)</f>
        <v>123865799.90000001</v>
      </c>
      <c r="K17" s="218">
        <f>J17/J17</f>
        <v>1</v>
      </c>
      <c r="L17" s="219">
        <f>SUM(L5:L16)</f>
        <v>140377810.27238098</v>
      </c>
      <c r="M17" s="218">
        <f>L17/L17</f>
        <v>1</v>
      </c>
      <c r="N17" s="219">
        <f>SUM(N5:N16)</f>
        <v>150283537.85027969</v>
      </c>
      <c r="O17" s="219">
        <f>SUM(O5:O16)</f>
        <v>168428063.22322562</v>
      </c>
      <c r="P17" s="223"/>
      <c r="Q17" s="100">
        <v>14</v>
      </c>
      <c r="R17" s="107" t="s">
        <v>301</v>
      </c>
      <c r="S17" s="221">
        <f>372483.18*M5</f>
        <v>30925.467130295197</v>
      </c>
      <c r="T17" s="221">
        <f>372483.18*M6</f>
        <v>31597.243806955987</v>
      </c>
      <c r="U17" s="221">
        <f>372483.18*M7</f>
        <v>29550.131622670855</v>
      </c>
      <c r="V17" s="221">
        <f>372483.18*M8</f>
        <v>30649.495347031199</v>
      </c>
      <c r="W17" s="221">
        <f>372483.18*M9</f>
        <v>30320.094831058421</v>
      </c>
      <c r="X17" s="221">
        <f>372483.18*M10</f>
        <v>27559.227564734392</v>
      </c>
      <c r="Y17" s="221">
        <f>372483.18*M11</f>
        <v>32246.375318376937</v>
      </c>
      <c r="Z17" s="221">
        <f>372483.18*M12</f>
        <v>28166.352878799331</v>
      </c>
      <c r="AA17" s="221">
        <f>372483.18*M13</f>
        <v>27870.15589615544</v>
      </c>
      <c r="AB17" s="221">
        <f>372483.18*M14</f>
        <v>30259.75560236182</v>
      </c>
      <c r="AC17" s="221">
        <f>372483.18*M15</f>
        <v>28246.869885386761</v>
      </c>
      <c r="AD17" s="221">
        <f>372483.18*M16</f>
        <v>45092.01011617358</v>
      </c>
      <c r="AE17" s="45">
        <f t="shared" si="3"/>
        <v>372483.17999999993</v>
      </c>
      <c r="AF17" s="216">
        <f t="shared" si="1"/>
        <v>2.6534334684632345E-3</v>
      </c>
    </row>
    <row r="18" spans="1:32">
      <c r="A18" s="710" t="s">
        <v>302</v>
      </c>
      <c r="B18" s="711"/>
      <c r="C18" s="224"/>
      <c r="D18" s="224">
        <f>(D17-B17)/B17</f>
        <v>0.1352471095449124</v>
      </c>
      <c r="E18" s="225"/>
      <c r="F18" s="224">
        <f>(F17-D17)/D17</f>
        <v>-9.849005036957155E-2</v>
      </c>
      <c r="G18" s="100"/>
      <c r="H18" s="224">
        <f>(H17-F17)/F17</f>
        <v>0.23148253011113551</v>
      </c>
      <c r="I18" s="100"/>
      <c r="J18" s="224">
        <f>(J17-H17)/H17</f>
        <v>6.7456262453736204E-2</v>
      </c>
      <c r="K18" s="226"/>
      <c r="L18" s="224">
        <f>(L17-J17)/J17</f>
        <v>0.13330564518786894</v>
      </c>
      <c r="M18" s="100"/>
      <c r="N18" s="224">
        <f>(N17-L17)/L17</f>
        <v>7.0564767741270573E-2</v>
      </c>
      <c r="O18" s="224">
        <f>(O17-N17)/N17</f>
        <v>0.12073528233692807</v>
      </c>
      <c r="Q18" s="100">
        <v>15</v>
      </c>
      <c r="R18" s="107" t="s">
        <v>153</v>
      </c>
      <c r="S18" s="221">
        <f>25810700.56*M5</f>
        <v>2142936.9556450089</v>
      </c>
      <c r="T18" s="221">
        <f>25810700.56*M6</f>
        <v>2189486.7801081794</v>
      </c>
      <c r="U18" s="221">
        <f>25810700.56*M7</f>
        <v>2047635.0068245882</v>
      </c>
      <c r="V18" s="221">
        <f>25810700.56*M8</f>
        <v>2123813.8772261757</v>
      </c>
      <c r="W18" s="221">
        <f>25810700.56*M9</f>
        <v>2100988.5295632752</v>
      </c>
      <c r="X18" s="221">
        <f>25810700.56*M10</f>
        <v>1909678.0969767747</v>
      </c>
      <c r="Y18" s="221">
        <f>25810700.56*M11</f>
        <v>2234467.4395445231</v>
      </c>
      <c r="Z18" s="221">
        <f>25810700.56*M12</f>
        <v>1951747.9957671738</v>
      </c>
      <c r="AA18" s="221">
        <f>25810700.56*M13</f>
        <v>1931223.440468336</v>
      </c>
      <c r="AB18" s="221">
        <f>25810700.56*M14</f>
        <v>2096807.4071729716</v>
      </c>
      <c r="AC18" s="221">
        <f>25810700.56*M15</f>
        <v>1957327.3090317775</v>
      </c>
      <c r="AD18" s="221">
        <f>25810700.56*M16</f>
        <v>3124587.7216712097</v>
      </c>
      <c r="AE18" s="45">
        <f t="shared" si="3"/>
        <v>25810700.559999995</v>
      </c>
      <c r="AF18" s="216">
        <f t="shared" si="1"/>
        <v>0.18386595794845489</v>
      </c>
    </row>
    <row r="19" spans="1:32">
      <c r="A19" s="227"/>
      <c r="B19" s="227"/>
      <c r="C19" s="227"/>
      <c r="D19" s="227"/>
      <c r="E19" s="227"/>
      <c r="F19" s="227"/>
      <c r="G19" s="227"/>
      <c r="H19" s="227"/>
      <c r="I19" s="227"/>
      <c r="J19" s="227"/>
      <c r="K19" s="227"/>
      <c r="L19" s="61">
        <f>140377810.27-L17</f>
        <v>-2.3809671401977539E-3</v>
      </c>
      <c r="M19" s="227"/>
      <c r="N19" s="228"/>
      <c r="O19" s="228"/>
      <c r="P19" s="212"/>
      <c r="Q19" s="100">
        <v>16</v>
      </c>
      <c r="R19" s="107" t="s">
        <v>154</v>
      </c>
      <c r="S19" s="221">
        <f>4416737.33*M5</f>
        <v>366700.22287197714</v>
      </c>
      <c r="T19" s="221">
        <f>4416737.33*M6</f>
        <v>374665.84732039127</v>
      </c>
      <c r="U19" s="221">
        <f>4416737.33*M7</f>
        <v>350392.11554267723</v>
      </c>
      <c r="V19" s="221">
        <f>4416737.33*M8</f>
        <v>363427.87409862108</v>
      </c>
      <c r="W19" s="221">
        <f>4416737.33*M9</f>
        <v>359521.99154194235</v>
      </c>
      <c r="X19" s="221">
        <f>4416737.33*M10</f>
        <v>326784.87434285594</v>
      </c>
      <c r="Y19" s="221">
        <f>4416737.33*M11</f>
        <v>382362.9556262542</v>
      </c>
      <c r="Z19" s="221">
        <f>4416737.33*M12</f>
        <v>333983.89213103789</v>
      </c>
      <c r="AA19" s="221">
        <f>4416737.33*M13</f>
        <v>330471.72207740851</v>
      </c>
      <c r="AB19" s="221">
        <f>4416737.33*M14</f>
        <v>358806.51621806948</v>
      </c>
      <c r="AC19" s="221">
        <f>4416737.33*M15</f>
        <v>334938.62643258291</v>
      </c>
      <c r="AD19" s="221">
        <f>4416737.33*M16</f>
        <v>534680.69179618126</v>
      </c>
      <c r="AE19" s="45">
        <f>SUM(S19:AD19)</f>
        <v>4416737.3299999982</v>
      </c>
      <c r="AF19" s="216">
        <f t="shared" si="1"/>
        <v>3.1463215742608686E-2</v>
      </c>
    </row>
    <row r="20" spans="1:32">
      <c r="A20" s="211" t="s">
        <v>273</v>
      </c>
      <c r="B20" s="707" t="s">
        <v>303</v>
      </c>
      <c r="C20" s="707"/>
      <c r="D20" s="707"/>
      <c r="E20" s="707"/>
      <c r="F20" s="707"/>
      <c r="G20" s="707"/>
      <c r="H20" s="707"/>
      <c r="I20" s="707"/>
      <c r="J20" s="707"/>
      <c r="K20" s="707"/>
      <c r="L20" s="707" t="s">
        <v>275</v>
      </c>
      <c r="M20" s="707"/>
      <c r="N20" s="707" t="s">
        <v>276</v>
      </c>
      <c r="O20" s="707"/>
      <c r="P20" s="63"/>
      <c r="Q20" s="229" t="s">
        <v>304</v>
      </c>
      <c r="R20" s="107" t="s">
        <v>289</v>
      </c>
      <c r="S20" s="45">
        <f t="shared" ref="S20:AD20" si="6">SUM(S4:S19)</f>
        <v>11656177.993336219</v>
      </c>
      <c r="T20" s="45">
        <f t="shared" si="6"/>
        <v>11901795.705152275</v>
      </c>
      <c r="U20" s="45">
        <f t="shared" si="6"/>
        <v>11153322.249607213</v>
      </c>
      <c r="V20" s="45">
        <f t="shared" si="6"/>
        <v>11555276.071185496</v>
      </c>
      <c r="W20" s="45">
        <f t="shared" si="6"/>
        <v>11434839.319188649</v>
      </c>
      <c r="X20" s="45">
        <f t="shared" si="6"/>
        <v>10425399.837078189</v>
      </c>
      <c r="Y20" s="45">
        <f t="shared" si="6"/>
        <v>12139133.799852779</v>
      </c>
      <c r="Z20" s="45">
        <f t="shared" si="6"/>
        <v>10647379.455613729</v>
      </c>
      <c r="AA20" s="45">
        <f t="shared" si="6"/>
        <v>10539082.714075398</v>
      </c>
      <c r="AB20" s="45">
        <f t="shared" si="6"/>
        <v>11412777.845785208</v>
      </c>
      <c r="AC20" s="45">
        <f>SUM(AC4:AC19)</f>
        <v>10676818.409967704</v>
      </c>
      <c r="AD20" s="45">
        <f t="shared" si="6"/>
        <v>16835806.869157109</v>
      </c>
      <c r="AE20" s="45">
        <f>SUM(AE4:AE19)</f>
        <v>140377810.26999998</v>
      </c>
      <c r="AF20" s="134">
        <f>SUM(AF4:AF19)</f>
        <v>1</v>
      </c>
    </row>
    <row r="21" spans="1:32">
      <c r="A21" s="214" t="s">
        <v>290</v>
      </c>
      <c r="B21" s="214">
        <f>B4</f>
        <v>2016</v>
      </c>
      <c r="C21" s="215" t="s">
        <v>291</v>
      </c>
      <c r="D21" s="214">
        <f>D4</f>
        <v>2017</v>
      </c>
      <c r="E21" s="214"/>
      <c r="F21" s="214">
        <f>F4</f>
        <v>2018</v>
      </c>
      <c r="G21" s="215" t="s">
        <v>291</v>
      </c>
      <c r="H21" s="214">
        <f>H4</f>
        <v>2019</v>
      </c>
      <c r="I21" s="215" t="s">
        <v>291</v>
      </c>
      <c r="J21" s="214">
        <f>J4</f>
        <v>2020</v>
      </c>
      <c r="K21" s="215" t="s">
        <v>291</v>
      </c>
      <c r="L21" s="214">
        <f>L4</f>
        <v>2021</v>
      </c>
      <c r="M21" s="214" t="s">
        <v>291</v>
      </c>
      <c r="N21" s="214">
        <f>N4</f>
        <v>2022</v>
      </c>
      <c r="O21" s="214">
        <f>O4</f>
        <v>2023</v>
      </c>
      <c r="P21" s="220"/>
      <c r="Q21" s="343"/>
      <c r="R21" s="344" t="s">
        <v>305</v>
      </c>
      <c r="S21" s="224">
        <f>S20/$AE$20</f>
        <v>8.3034334065454865E-2</v>
      </c>
      <c r="T21" s="224">
        <f t="shared" ref="T21:AC21" si="7">T20/$AE$20</f>
        <v>8.47840244997453E-2</v>
      </c>
      <c r="U21" s="224">
        <f t="shared" si="7"/>
        <v>7.9452174301302511E-2</v>
      </c>
      <c r="V21" s="224">
        <f t="shared" si="7"/>
        <v>8.2315545804285586E-2</v>
      </c>
      <c r="W21" s="224">
        <f t="shared" si="7"/>
        <v>8.1457598584812649E-2</v>
      </c>
      <c r="X21" s="224">
        <f t="shared" si="7"/>
        <v>7.4266722190823295E-2</v>
      </c>
      <c r="Y21" s="224">
        <f t="shared" si="7"/>
        <v>8.6474733980424698E-2</v>
      </c>
      <c r="Z21" s="224">
        <f t="shared" si="7"/>
        <v>7.5848023524051011E-2</v>
      </c>
      <c r="AA21" s="224">
        <f t="shared" si="7"/>
        <v>7.5076557283553072E-2</v>
      </c>
      <c r="AB21" s="224">
        <f>AB20/$AE$20</f>
        <v>8.1300440745115554E-2</v>
      </c>
      <c r="AC21" s="224">
        <f t="shared" si="7"/>
        <v>7.6057735830414488E-2</v>
      </c>
      <c r="AD21" s="224">
        <f>AD20/$AE$20</f>
        <v>0.11993210919001687</v>
      </c>
      <c r="AE21" s="224">
        <f>AE20/$AE$20</f>
        <v>1</v>
      </c>
      <c r="AF21" s="61"/>
    </row>
    <row r="22" spans="1:32">
      <c r="A22" s="211" t="s">
        <v>124</v>
      </c>
      <c r="B22" s="45">
        <v>5345719.25</v>
      </c>
      <c r="C22" s="218">
        <f>B22/B34</f>
        <v>5.8274466170036884E-2</v>
      </c>
      <c r="D22" s="45">
        <v>5981651.0099999998</v>
      </c>
      <c r="E22" s="218">
        <f>D22/D34</f>
        <v>6.2053543707761512E-2</v>
      </c>
      <c r="F22" s="45">
        <v>7670864.2400000002</v>
      </c>
      <c r="G22" s="218">
        <f>F22/F34</f>
        <v>7.2802734232698077E-2</v>
      </c>
      <c r="H22" s="45">
        <v>7979821.7400000002</v>
      </c>
      <c r="I22" s="218">
        <f>H22/H34</f>
        <v>6.8577942666855726E-2</v>
      </c>
      <c r="J22" s="45">
        <f>7671797.23</f>
        <v>7671797.2300000004</v>
      </c>
      <c r="K22" s="218">
        <f>J22/J34</f>
        <v>6.2068218910190799E-2</v>
      </c>
      <c r="L22" s="45">
        <v>9502229.8300000001</v>
      </c>
      <c r="M22" s="218">
        <f>L22/L34</f>
        <v>7.2049163938977437E-2</v>
      </c>
      <c r="N22" s="219">
        <f>(F22+H22+J22+L22)/3.2</f>
        <v>10257722.824999999</v>
      </c>
      <c r="O22" s="219">
        <f>(H22+J22+L22+N22)/3.3</f>
        <v>10730779.280303031</v>
      </c>
      <c r="P22" s="220"/>
      <c r="Q22" s="230" t="s">
        <v>306</v>
      </c>
      <c r="R22" s="231"/>
      <c r="S22" s="224" t="s">
        <v>307</v>
      </c>
      <c r="T22" s="232">
        <f>S20+T20</f>
        <v>23557973.698488496</v>
      </c>
      <c r="U22" s="224" t="s">
        <v>308</v>
      </c>
      <c r="V22" s="233">
        <f>U20+V20</f>
        <v>22708598.320792709</v>
      </c>
      <c r="W22" s="224" t="s">
        <v>309</v>
      </c>
      <c r="X22" s="233">
        <f>W20+X20</f>
        <v>21860239.156266838</v>
      </c>
      <c r="Y22" s="224" t="s">
        <v>310</v>
      </c>
      <c r="Z22" s="233">
        <f>Y20+Z20</f>
        <v>22786513.255466506</v>
      </c>
      <c r="AA22" s="224" t="s">
        <v>311</v>
      </c>
      <c r="AB22" s="233">
        <f>AA20+AB20</f>
        <v>21951860.559860606</v>
      </c>
      <c r="AC22" s="224" t="s">
        <v>312</v>
      </c>
      <c r="AD22" s="233">
        <f>AC20+AD20</f>
        <v>27512625.279124811</v>
      </c>
      <c r="AE22" s="45">
        <f>SUM(S22:AD22)</f>
        <v>140377810.26999998</v>
      </c>
      <c r="AF22" s="124">
        <f>140377810.27-AE20</f>
        <v>0</v>
      </c>
    </row>
    <row r="23" spans="1:32">
      <c r="A23" s="211" t="s">
        <v>125</v>
      </c>
      <c r="B23" s="45">
        <v>5798452.0499999998</v>
      </c>
      <c r="C23" s="218">
        <f>B23/B34</f>
        <v>6.3209772534595046E-2</v>
      </c>
      <c r="D23" s="45">
        <v>6665778.9299999997</v>
      </c>
      <c r="E23" s="218">
        <f>D23/D34</f>
        <v>6.9150674870119305E-2</v>
      </c>
      <c r="F23" s="45">
        <f>7361356.62+32710.31</f>
        <v>7394066.9299999997</v>
      </c>
      <c r="G23" s="218">
        <f>F23/F34</f>
        <v>7.0175702862337666E-2</v>
      </c>
      <c r="H23" s="45">
        <v>7902084.6200000001</v>
      </c>
      <c r="I23" s="218">
        <f>H23/H34</f>
        <v>6.7909876144551864E-2</v>
      </c>
      <c r="J23" s="45">
        <f>8682002.48</f>
        <v>8682002.4800000004</v>
      </c>
      <c r="K23" s="218">
        <f>J23/J34</f>
        <v>7.024122436398901E-2</v>
      </c>
      <c r="L23" s="45">
        <v>9870035.4800000004</v>
      </c>
      <c r="M23" s="218">
        <f>L23/L34</f>
        <v>7.4837992461190966E-2</v>
      </c>
      <c r="N23" s="219">
        <f t="shared" ref="N23:N33" si="8">(F23+H23+J23+L23)/3</f>
        <v>11282729.836666668</v>
      </c>
      <c r="O23" s="219">
        <f t="shared" ref="O23:O33" si="9">(H23+J23+L23+N23)/3.3</f>
        <v>11435409.823232325</v>
      </c>
      <c r="P23" s="220"/>
      <c r="Q23" s="100" t="s">
        <v>136</v>
      </c>
      <c r="R23" s="213" t="s">
        <v>137</v>
      </c>
      <c r="S23" s="100" t="s">
        <v>277</v>
      </c>
      <c r="T23" s="100" t="s">
        <v>278</v>
      </c>
      <c r="U23" s="100" t="s">
        <v>279</v>
      </c>
      <c r="V23" s="100" t="s">
        <v>280</v>
      </c>
      <c r="W23" s="100" t="s">
        <v>281</v>
      </c>
      <c r="X23" s="100" t="s">
        <v>282</v>
      </c>
      <c r="Y23" s="100" t="s">
        <v>283</v>
      </c>
      <c r="Z23" s="100" t="s">
        <v>284</v>
      </c>
      <c r="AA23" s="100" t="s">
        <v>285</v>
      </c>
      <c r="AB23" s="100" t="s">
        <v>286</v>
      </c>
      <c r="AC23" s="100" t="s">
        <v>287</v>
      </c>
      <c r="AD23" s="100" t="s">
        <v>288</v>
      </c>
      <c r="AE23" s="100" t="s">
        <v>289</v>
      </c>
    </row>
    <row r="24" spans="1:32">
      <c r="A24" s="211" t="s">
        <v>126</v>
      </c>
      <c r="B24" s="45">
        <v>5890259.2999999998</v>
      </c>
      <c r="C24" s="218">
        <f>B24/B34</f>
        <v>6.4210576773292977E-2</v>
      </c>
      <c r="D24" s="45">
        <v>7484694.0499999998</v>
      </c>
      <c r="E24" s="218">
        <f>D24/D34</f>
        <v>7.7646086104728729E-2</v>
      </c>
      <c r="F24" s="45">
        <v>8190765.7999999998</v>
      </c>
      <c r="G24" s="218">
        <f>F24/F34</f>
        <v>7.7737022458328961E-2</v>
      </c>
      <c r="H24" s="45">
        <f>9215305.68</f>
        <v>9215305.6799999997</v>
      </c>
      <c r="I24" s="218">
        <f>H24/H34</f>
        <v>7.9195591727665562E-2</v>
      </c>
      <c r="J24" s="45">
        <v>9514390.5500000007</v>
      </c>
      <c r="K24" s="218">
        <f>J24/J34</f>
        <v>7.6975610505603864E-2</v>
      </c>
      <c r="L24" s="45">
        <f>((D24+F24+H24+J24)/3.4)+226036</f>
        <v>10345199.552941177</v>
      </c>
      <c r="M24" s="218">
        <f>L24/L34</f>
        <v>7.8440849348651781E-2</v>
      </c>
      <c r="N24" s="219">
        <f t="shared" si="8"/>
        <v>12421887.194313725</v>
      </c>
      <c r="O24" s="219">
        <f t="shared" si="9"/>
        <v>12574782.720380275</v>
      </c>
      <c r="P24" s="220"/>
      <c r="Q24" s="100">
        <v>1</v>
      </c>
      <c r="R24" s="107" t="s">
        <v>140</v>
      </c>
      <c r="S24" s="102">
        <v>272500.59999999998</v>
      </c>
      <c r="T24" s="102">
        <v>288816.56</v>
      </c>
      <c r="U24" s="102">
        <v>271577.03000000003</v>
      </c>
      <c r="V24" s="102">
        <f>261884.04</f>
        <v>261884.04</v>
      </c>
      <c r="W24" s="102">
        <v>286697.43</v>
      </c>
      <c r="X24" s="102">
        <v>287331.03000000003</v>
      </c>
      <c r="Y24" s="102">
        <f>282884.08</f>
        <v>282884.08</v>
      </c>
      <c r="Z24" s="102">
        <f>261210.5</f>
        <v>261210.5</v>
      </c>
      <c r="AA24" s="102">
        <f>265584</f>
        <v>265584</v>
      </c>
      <c r="AB24" s="102">
        <v>287264.74</v>
      </c>
      <c r="AC24" s="102"/>
      <c r="AD24" s="102"/>
      <c r="AE24" s="45">
        <f>SUM(S24:AD24)</f>
        <v>2765750.01</v>
      </c>
      <c r="AF24" s="224">
        <f>AE24/$AE$40</f>
        <v>2.576973303409965E-2</v>
      </c>
    </row>
    <row r="25" spans="1:32">
      <c r="A25" s="211" t="s">
        <v>127</v>
      </c>
      <c r="B25" s="45">
        <v>7183262.2999999998</v>
      </c>
      <c r="C25" s="218">
        <f>B25/B34</f>
        <v>7.8305791291200216E-2</v>
      </c>
      <c r="D25" s="45">
        <f>7391916.3-2329.01</f>
        <v>7389587.29</v>
      </c>
      <c r="E25" s="218">
        <f>D25/D34</f>
        <v>7.6659450227995488E-2</v>
      </c>
      <c r="F25" s="45">
        <v>7513399.3099999996</v>
      </c>
      <c r="G25" s="218">
        <f>F25/F34</f>
        <v>7.1308264106374933E-2</v>
      </c>
      <c r="H25" s="45">
        <v>9663995.9100000001</v>
      </c>
      <c r="I25" s="218">
        <f>H25/H34</f>
        <v>8.3051599276540752E-2</v>
      </c>
      <c r="J25" s="45">
        <f>10634576.05</f>
        <v>10634576.050000001</v>
      </c>
      <c r="K25" s="218">
        <f>J25/J34</f>
        <v>8.6038404626665579E-2</v>
      </c>
      <c r="L25" s="45">
        <f t="shared" ref="L25:L33" si="10">((D25+F25+H25+J25)/3.4)</f>
        <v>10353399.576470589</v>
      </c>
      <c r="M25" s="218">
        <f>L25/L34</f>
        <v>7.8503024738022897E-2</v>
      </c>
      <c r="N25" s="219">
        <f t="shared" si="8"/>
        <v>12721790.282156862</v>
      </c>
      <c r="O25" s="219">
        <f t="shared" si="9"/>
        <v>13143564.187462866</v>
      </c>
      <c r="P25" s="220"/>
      <c r="Q25" s="100">
        <v>2</v>
      </c>
      <c r="R25" s="107" t="s">
        <v>141</v>
      </c>
      <c r="S25" s="102">
        <v>181653.21</v>
      </c>
      <c r="T25" s="102">
        <v>174100.48000000001</v>
      </c>
      <c r="U25" s="102">
        <v>170867.34</v>
      </c>
      <c r="V25" s="102">
        <f>161288.32</f>
        <v>161288.32000000001</v>
      </c>
      <c r="W25" s="102">
        <v>166287.82</v>
      </c>
      <c r="X25" s="102">
        <v>178182.14</v>
      </c>
      <c r="Y25" s="102">
        <f>165804.47</f>
        <v>165804.47</v>
      </c>
      <c r="Z25" s="102">
        <f>172862.23</f>
        <v>172862.23</v>
      </c>
      <c r="AA25" s="102">
        <f>170260.85</f>
        <v>170260.85</v>
      </c>
      <c r="AB25" s="102">
        <v>181889.07</v>
      </c>
      <c r="AC25" s="102"/>
      <c r="AD25" s="102"/>
      <c r="AE25" s="45">
        <f t="shared" ref="AE25:AE39" si="11">SUM(S25:AD25)</f>
        <v>1723195.9300000004</v>
      </c>
      <c r="AF25" s="224">
        <f t="shared" ref="AF25:AF40" si="12">AE25/$AE$40</f>
        <v>1.6055789178699879E-2</v>
      </c>
    </row>
    <row r="26" spans="1:32">
      <c r="A26" s="211" t="s">
        <v>292</v>
      </c>
      <c r="B26" s="45">
        <v>6519507.1299999999</v>
      </c>
      <c r="C26" s="218">
        <f>B26/B34</f>
        <v>7.1070099256054134E-2</v>
      </c>
      <c r="D26" s="45">
        <v>8056881.3700000001</v>
      </c>
      <c r="E26" s="218">
        <f>D26/D34</f>
        <v>8.3581947426508998E-2</v>
      </c>
      <c r="F26" s="45">
        <v>8332242.9400000004</v>
      </c>
      <c r="G26" s="218">
        <f>F26/F34</f>
        <v>7.9079755467435411E-2</v>
      </c>
      <c r="H26" s="45">
        <f>9721771.29</f>
        <v>9721771.2899999991</v>
      </c>
      <c r="I26" s="218">
        <f>H26/H34</f>
        <v>8.3548116219686872E-2</v>
      </c>
      <c r="J26" s="45">
        <f>8693274.76</f>
        <v>8693274.7599999998</v>
      </c>
      <c r="K26" s="218">
        <f>J26/J34</f>
        <v>7.0332422074470852E-2</v>
      </c>
      <c r="L26" s="45">
        <f t="shared" si="10"/>
        <v>10236520.694117647</v>
      </c>
      <c r="M26" s="218">
        <f>L26/L34</f>
        <v>7.761680898589858E-2</v>
      </c>
      <c r="N26" s="219">
        <f t="shared" si="8"/>
        <v>12327936.561372548</v>
      </c>
      <c r="O26" s="219">
        <f t="shared" si="9"/>
        <v>12418031.304693999</v>
      </c>
      <c r="P26" s="220"/>
      <c r="Q26" s="100">
        <v>3</v>
      </c>
      <c r="R26" s="107" t="s">
        <v>142</v>
      </c>
      <c r="S26" s="102">
        <v>57093.17</v>
      </c>
      <c r="T26" s="102">
        <v>52779.72</v>
      </c>
      <c r="U26" s="102">
        <v>60075</v>
      </c>
      <c r="V26" s="102">
        <f>55713.19</f>
        <v>55713.19</v>
      </c>
      <c r="W26" s="102">
        <v>52815.68</v>
      </c>
      <c r="X26" s="102">
        <v>61577.78</v>
      </c>
      <c r="Y26" s="102">
        <f>54583.25</f>
        <v>54583.25</v>
      </c>
      <c r="Z26" s="102">
        <f>55389.09</f>
        <v>55389.09</v>
      </c>
      <c r="AA26" s="102">
        <f>57158.13</f>
        <v>57158.13</v>
      </c>
      <c r="AB26" s="102">
        <v>59895.360000000001</v>
      </c>
      <c r="AC26" s="102"/>
      <c r="AD26" s="102"/>
      <c r="AE26" s="45">
        <f t="shared" si="11"/>
        <v>567080.37</v>
      </c>
      <c r="AF26" s="224">
        <f t="shared" si="12"/>
        <v>5.2837420919971193E-3</v>
      </c>
    </row>
    <row r="27" spans="1:32">
      <c r="A27" s="211" t="s">
        <v>293</v>
      </c>
      <c r="B27" s="45">
        <v>9389677.8399999999</v>
      </c>
      <c r="C27" s="218">
        <f>B27/B34</f>
        <v>0.10235824929164115</v>
      </c>
      <c r="D27" s="45">
        <v>8550639.5099999998</v>
      </c>
      <c r="E27" s="218">
        <f>D27/D34</f>
        <v>8.8704185796873739E-2</v>
      </c>
      <c r="F27" s="45">
        <v>9391234.2699999996</v>
      </c>
      <c r="G27" s="218">
        <f>F27/F34</f>
        <v>8.9130443622062613E-2</v>
      </c>
      <c r="H27" s="45">
        <v>9467660.9700000007</v>
      </c>
      <c r="I27" s="218">
        <f>H27/H34</f>
        <v>8.1364312680735101E-2</v>
      </c>
      <c r="J27" s="45">
        <f>10697988.26</f>
        <v>10697988.26</v>
      </c>
      <c r="K27" s="218">
        <f>J27/J34</f>
        <v>8.6551437337758094E-2</v>
      </c>
      <c r="L27" s="45">
        <f t="shared" si="10"/>
        <v>11208095.002941176</v>
      </c>
      <c r="M27" s="218">
        <f>L27/L34</f>
        <v>8.4983618451432749E-2</v>
      </c>
      <c r="N27" s="219">
        <f t="shared" si="8"/>
        <v>13588326.167647058</v>
      </c>
      <c r="O27" s="219">
        <f t="shared" si="9"/>
        <v>13624869.818360072</v>
      </c>
      <c r="P27" s="220"/>
      <c r="Q27" s="100">
        <v>4</v>
      </c>
      <c r="R27" s="107" t="s">
        <v>143</v>
      </c>
      <c r="S27" s="102">
        <v>124867.31</v>
      </c>
      <c r="T27" s="102">
        <v>125453.03</v>
      </c>
      <c r="U27" s="102">
        <f>138017.54</f>
        <v>138017.54</v>
      </c>
      <c r="V27" s="102">
        <f>128644.09</f>
        <v>128644.09</v>
      </c>
      <c r="W27" s="102">
        <v>132426.13</v>
      </c>
      <c r="X27" s="102">
        <v>135125.87</v>
      </c>
      <c r="Y27" s="102">
        <f>137106.43</f>
        <v>137106.43</v>
      </c>
      <c r="Z27" s="102">
        <f>132915.97</f>
        <v>132915.97</v>
      </c>
      <c r="AA27" s="102">
        <f>146111.38</f>
        <v>146111.38</v>
      </c>
      <c r="AB27" s="102">
        <v>138426.46</v>
      </c>
      <c r="AC27" s="102"/>
      <c r="AD27" s="102"/>
      <c r="AE27" s="45">
        <f t="shared" si="11"/>
        <v>1339094.21</v>
      </c>
      <c r="AF27" s="224">
        <f t="shared" si="12"/>
        <v>1.2476941218273222E-2</v>
      </c>
    </row>
    <row r="28" spans="1:32">
      <c r="A28" s="211" t="s">
        <v>294</v>
      </c>
      <c r="B28" s="45">
        <v>7703386.96</v>
      </c>
      <c r="C28" s="218">
        <f>B28/B34</f>
        <v>8.3975746162730722E-2</v>
      </c>
      <c r="D28" s="45">
        <v>8123962.6100000003</v>
      </c>
      <c r="E28" s="218">
        <f>D28/D34</f>
        <v>8.427784704541888E-2</v>
      </c>
      <c r="F28" s="45">
        <f>8712975.37</f>
        <v>8712975.3699999992</v>
      </c>
      <c r="G28" s="218">
        <f>F28/F34</f>
        <v>8.2693215574123374E-2</v>
      </c>
      <c r="H28" s="45">
        <v>8718239.5999999996</v>
      </c>
      <c r="I28" s="218">
        <f>H28/H34</f>
        <v>7.4923846036278885E-2</v>
      </c>
      <c r="J28" s="45">
        <v>9134531.9900000002</v>
      </c>
      <c r="K28" s="218">
        <f>J28/J34</f>
        <v>7.3902387432815492E-2</v>
      </c>
      <c r="L28" s="45">
        <f t="shared" si="10"/>
        <v>10202855.755882353</v>
      </c>
      <c r="M28" s="218">
        <f>L28/L34</f>
        <v>7.7361549883845235E-2</v>
      </c>
      <c r="N28" s="219">
        <f t="shared" si="8"/>
        <v>12256200.905294118</v>
      </c>
      <c r="O28" s="219">
        <f t="shared" si="9"/>
        <v>12215705.530659536</v>
      </c>
      <c r="P28" s="220"/>
      <c r="Q28" s="100">
        <v>5</v>
      </c>
      <c r="R28" s="107" t="s">
        <v>144</v>
      </c>
      <c r="S28" s="102">
        <v>641306.12</v>
      </c>
      <c r="T28" s="102">
        <v>675401.63</v>
      </c>
      <c r="U28" s="102">
        <v>760919.67</v>
      </c>
      <c r="V28" s="102">
        <f>602770.84</f>
        <v>602770.84</v>
      </c>
      <c r="W28" s="102">
        <v>674830.82</v>
      </c>
      <c r="X28" s="102">
        <v>643394.65</v>
      </c>
      <c r="Y28" s="102">
        <f>648673.3</f>
        <v>648673.30000000005</v>
      </c>
      <c r="Z28" s="102">
        <f>687994.84</f>
        <v>687994.84</v>
      </c>
      <c r="AA28" s="102">
        <f>655357.97</f>
        <v>655357.97</v>
      </c>
      <c r="AB28" s="102">
        <v>671354.8</v>
      </c>
      <c r="AC28" s="102"/>
      <c r="AD28" s="102"/>
      <c r="AE28" s="45">
        <f t="shared" si="11"/>
        <v>6662004.6399999987</v>
      </c>
      <c r="AF28" s="224">
        <f t="shared" si="12"/>
        <v>6.2072884542711482E-2</v>
      </c>
    </row>
    <row r="29" spans="1:32">
      <c r="A29" s="211" t="s">
        <v>295</v>
      </c>
      <c r="B29" s="45">
        <v>8109803.2000000002</v>
      </c>
      <c r="C29" s="218">
        <f>B29/B34</f>
        <v>8.8406148943204768E-2</v>
      </c>
      <c r="D29" s="45">
        <v>8191361.8700000001</v>
      </c>
      <c r="E29" s="218">
        <f>D29/D34</f>
        <v>8.4977045798286396E-2</v>
      </c>
      <c r="F29" s="45">
        <f>8881833.91</f>
        <v>8881833.9100000001</v>
      </c>
      <c r="G29" s="218">
        <f>F29/F34</f>
        <v>8.429582031668123E-2</v>
      </c>
      <c r="H29" s="45">
        <v>9251295.0899999999</v>
      </c>
      <c r="I29" s="218">
        <f>H29/H34</f>
        <v>7.9504881806568256E-2</v>
      </c>
      <c r="J29" s="45">
        <f>9036456.79</f>
        <v>9036456.7899999991</v>
      </c>
      <c r="K29" s="218">
        <f>J29/J34</f>
        <v>7.3108915864060181E-2</v>
      </c>
      <c r="L29" s="45">
        <f t="shared" si="10"/>
        <v>10400278.723529411</v>
      </c>
      <c r="M29" s="218">
        <f>L29/L34</f>
        <v>7.8858478501211929E-2</v>
      </c>
      <c r="N29" s="219">
        <f t="shared" si="8"/>
        <v>12523288.171176471</v>
      </c>
      <c r="O29" s="219">
        <f t="shared" si="9"/>
        <v>12488278.41657754</v>
      </c>
      <c r="P29" s="220"/>
      <c r="Q29" s="100">
        <v>6</v>
      </c>
      <c r="R29" s="107" t="s">
        <v>145</v>
      </c>
      <c r="S29" s="102">
        <v>259694.11</v>
      </c>
      <c r="T29" s="102">
        <v>254528.62</v>
      </c>
      <c r="U29" s="102">
        <f>265796.65</f>
        <v>265796.65000000002</v>
      </c>
      <c r="V29" s="102">
        <f>229132.76</f>
        <v>229132.76</v>
      </c>
      <c r="W29" s="102">
        <v>279843.40000000002</v>
      </c>
      <c r="X29" s="102">
        <v>252792.81</v>
      </c>
      <c r="Y29" s="102">
        <f>252672.83</f>
        <v>252672.83</v>
      </c>
      <c r="Z29" s="102">
        <f>248042.36</f>
        <v>248042.36</v>
      </c>
      <c r="AA29" s="102">
        <f>249527.57</f>
        <v>249527.57</v>
      </c>
      <c r="AB29" s="102">
        <v>226386.4</v>
      </c>
      <c r="AC29" s="102"/>
      <c r="AD29" s="102"/>
      <c r="AE29" s="45">
        <f t="shared" si="11"/>
        <v>2518417.5099999998</v>
      </c>
      <c r="AF29" s="224">
        <f t="shared" si="12"/>
        <v>2.3465225225146789E-2</v>
      </c>
    </row>
    <row r="30" spans="1:32">
      <c r="A30" s="211" t="s">
        <v>296</v>
      </c>
      <c r="B30" s="45">
        <v>7384516.1600000001</v>
      </c>
      <c r="C30" s="218">
        <f>B30/B34</f>
        <v>8.0499689007800163E-2</v>
      </c>
      <c r="D30" s="45">
        <f>7555140.76</f>
        <v>7555140.7599999998</v>
      </c>
      <c r="E30" s="218">
        <f>D30/D34</f>
        <v>7.8376899050977986E-2</v>
      </c>
      <c r="F30" s="45">
        <v>8405663.2300000004</v>
      </c>
      <c r="G30" s="218">
        <f>F30/F34</f>
        <v>7.9776573673692397E-2</v>
      </c>
      <c r="H30" s="45">
        <f>9019781.08</f>
        <v>9019781.0800000001</v>
      </c>
      <c r="I30" s="218">
        <f>H30/H34</f>
        <v>7.7515269128283798E-2</v>
      </c>
      <c r="J30" s="45">
        <f>10105595.49</f>
        <v>10105595.49</v>
      </c>
      <c r="K30" s="218">
        <f>J30/J34</f>
        <v>8.1758718887719711E-2</v>
      </c>
      <c r="L30" s="45">
        <f t="shared" si="10"/>
        <v>10319464.870588236</v>
      </c>
      <c r="M30" s="218">
        <f>L30/L34</f>
        <v>7.82457201651931E-2</v>
      </c>
      <c r="N30" s="219">
        <f t="shared" si="8"/>
        <v>12616834.890196079</v>
      </c>
      <c r="O30" s="219">
        <f t="shared" si="9"/>
        <v>12745962.524480095</v>
      </c>
      <c r="P30" s="220"/>
      <c r="Q30" s="100">
        <v>7</v>
      </c>
      <c r="R30" s="107" t="s">
        <v>146</v>
      </c>
      <c r="S30" s="102">
        <v>58851.92</v>
      </c>
      <c r="T30" s="102">
        <v>50153.599999999999</v>
      </c>
      <c r="U30" s="102">
        <f>55556.25</f>
        <v>55556.25</v>
      </c>
      <c r="V30" s="102">
        <f>58785.61</f>
        <v>58785.61</v>
      </c>
      <c r="W30" s="102">
        <v>62776.26</v>
      </c>
      <c r="X30" s="102">
        <v>58566.02</v>
      </c>
      <c r="Y30" s="102">
        <f>65259.27</f>
        <v>65259.27</v>
      </c>
      <c r="Z30" s="102">
        <f>84715.2</f>
        <v>84715.199999999997</v>
      </c>
      <c r="AA30" s="102">
        <f>88705.76</f>
        <v>88705.76</v>
      </c>
      <c r="AB30" s="102">
        <v>138334.23000000001</v>
      </c>
      <c r="AC30" s="102"/>
      <c r="AD30" s="102"/>
      <c r="AE30" s="45">
        <f t="shared" si="11"/>
        <v>721704.12</v>
      </c>
      <c r="AF30" s="224">
        <f t="shared" si="12"/>
        <v>6.724440905636956E-3</v>
      </c>
    </row>
    <row r="31" spans="1:32">
      <c r="A31" s="211" t="s">
        <v>298</v>
      </c>
      <c r="B31" s="45">
        <v>7353919.7400000002</v>
      </c>
      <c r="C31" s="218">
        <f>B31/B34</f>
        <v>8.0166152965439857E-2</v>
      </c>
      <c r="D31" s="45">
        <v>7682619.8700000001</v>
      </c>
      <c r="E31" s="218">
        <f>D31/D34</f>
        <v>7.9699365124472898E-2</v>
      </c>
      <c r="F31" s="45">
        <v>8594186.0700000003</v>
      </c>
      <c r="G31" s="218">
        <f>F31/F34</f>
        <v>8.1565808600539885E-2</v>
      </c>
      <c r="H31" s="45">
        <f>9257306.49</f>
        <v>9257306.4900000002</v>
      </c>
      <c r="I31" s="218">
        <f>H31/H34</f>
        <v>7.9556543291997323E-2</v>
      </c>
      <c r="J31" s="45">
        <v>9996580.7100000009</v>
      </c>
      <c r="K31" s="218">
        <f>J31/J34</f>
        <v>8.0876741298032268E-2</v>
      </c>
      <c r="L31" s="45">
        <f t="shared" si="10"/>
        <v>10450203.864705883</v>
      </c>
      <c r="M31" s="218">
        <f>L31/L34</f>
        <v>7.9237028035968882E-2</v>
      </c>
      <c r="N31" s="219">
        <f t="shared" si="8"/>
        <v>12766092.378235295</v>
      </c>
      <c r="O31" s="219">
        <f t="shared" si="9"/>
        <v>12869752.558467025</v>
      </c>
      <c r="P31" s="220"/>
      <c r="Q31" s="100">
        <v>8</v>
      </c>
      <c r="R31" s="107" t="s">
        <v>147</v>
      </c>
      <c r="S31" s="102">
        <v>740885.48</v>
      </c>
      <c r="T31" s="102">
        <v>589309.21</v>
      </c>
      <c r="U31" s="102">
        <v>913485.51</v>
      </c>
      <c r="V31" s="102">
        <f>783014.71</f>
        <v>783014.71</v>
      </c>
      <c r="W31" s="102">
        <v>1038389.12</v>
      </c>
      <c r="X31" s="102">
        <v>974893.93</v>
      </c>
      <c r="Y31" s="102">
        <f>922550.47</f>
        <v>922550.47</v>
      </c>
      <c r="Z31" s="102">
        <f>1548599.94</f>
        <v>1548599.94</v>
      </c>
      <c r="AA31" s="102">
        <f>786229.3</f>
        <v>786229.3</v>
      </c>
      <c r="AB31" s="102">
        <v>965076.32</v>
      </c>
      <c r="AC31" s="102"/>
      <c r="AD31" s="102"/>
      <c r="AE31" s="45">
        <f t="shared" si="11"/>
        <v>9262433.9899999984</v>
      </c>
      <c r="AF31" s="224">
        <f t="shared" si="12"/>
        <v>8.6302250856096135E-2</v>
      </c>
    </row>
    <row r="32" spans="1:32">
      <c r="A32" s="211" t="s">
        <v>299</v>
      </c>
      <c r="B32" s="45">
        <v>7912382.3799999999</v>
      </c>
      <c r="C32" s="218">
        <f>B32/B34</f>
        <v>8.6254035755376782E-2</v>
      </c>
      <c r="D32" s="45">
        <v>8077679.6399999997</v>
      </c>
      <c r="E32" s="218">
        <f>D32/D34</f>
        <v>8.3797708318331873E-2</v>
      </c>
      <c r="F32" s="45">
        <v>8884947.5199999996</v>
      </c>
      <c r="G32" s="218">
        <f>F32/F34</f>
        <v>8.4325371005396624E-2</v>
      </c>
      <c r="H32" s="45">
        <v>9510627.3300000001</v>
      </c>
      <c r="I32" s="218">
        <f>H32/H34</f>
        <v>8.1733562103678159E-2</v>
      </c>
      <c r="J32" s="45">
        <f>10537885.72</f>
        <v>10537885.720000001</v>
      </c>
      <c r="K32" s="218">
        <f>J32/J34</f>
        <v>8.5256137266226148E-2</v>
      </c>
      <c r="L32" s="45">
        <f t="shared" si="10"/>
        <v>10885629.473529411</v>
      </c>
      <c r="M32" s="218">
        <f>L32/L34</f>
        <v>8.2538574266129414E-2</v>
      </c>
      <c r="N32" s="219">
        <f t="shared" si="8"/>
        <v>13273030.014509805</v>
      </c>
      <c r="O32" s="219">
        <f t="shared" si="9"/>
        <v>13396112.890314914</v>
      </c>
      <c r="P32" s="220"/>
      <c r="Q32" s="100">
        <v>9</v>
      </c>
      <c r="R32" s="107" t="s">
        <v>148</v>
      </c>
      <c r="S32" s="102">
        <v>2501144.19</v>
      </c>
      <c r="T32" s="102">
        <v>2645212.89</v>
      </c>
      <c r="U32" s="102">
        <f>2707776.74</f>
        <v>2707776.74</v>
      </c>
      <c r="V32" s="102">
        <f>2760789.37</f>
        <v>2760789.37</v>
      </c>
      <c r="W32" s="102">
        <v>2538135.12</v>
      </c>
      <c r="X32" s="102">
        <v>2596091.34</v>
      </c>
      <c r="Y32" s="102">
        <f>2486286.67</f>
        <v>2486286.67</v>
      </c>
      <c r="Z32" s="102">
        <f>2904138.86</f>
        <v>2904138.86</v>
      </c>
      <c r="AA32" s="102">
        <f>2749841.94</f>
        <v>2749841.94</v>
      </c>
      <c r="AB32" s="102">
        <v>3292207.92</v>
      </c>
      <c r="AC32" s="102"/>
      <c r="AD32" s="102"/>
      <c r="AE32" s="45">
        <f t="shared" si="11"/>
        <v>27181625.039999999</v>
      </c>
      <c r="AF32" s="224">
        <f t="shared" si="12"/>
        <v>0.25326338901967438</v>
      </c>
    </row>
    <row r="33" spans="1:33">
      <c r="A33" s="211" t="s">
        <v>300</v>
      </c>
      <c r="B33" s="45">
        <v>13142588.08</v>
      </c>
      <c r="C33" s="218">
        <f>B33/B34</f>
        <v>0.14326927184862728</v>
      </c>
      <c r="D33" s="45">
        <v>12634997.68</v>
      </c>
      <c r="E33" s="218">
        <f>D33/D34</f>
        <v>0.13107524652852412</v>
      </c>
      <c r="F33" s="45">
        <v>13392877.380000001</v>
      </c>
      <c r="G33" s="218">
        <f>F33/F34</f>
        <v>0.12710928808032895</v>
      </c>
      <c r="H33" s="45">
        <f>15787827.89+865628.68</f>
        <v>16653456.57</v>
      </c>
      <c r="I33" s="218">
        <f>H33/H34</f>
        <v>0.14311845891715769</v>
      </c>
      <c r="J33" s="45">
        <v>18897584.34</v>
      </c>
      <c r="K33" s="218">
        <f>J33/J34</f>
        <v>0.15288978143246798</v>
      </c>
      <c r="L33" s="45">
        <f t="shared" si="10"/>
        <v>18111445.873529412</v>
      </c>
      <c r="M33" s="218">
        <f>L33/L34</f>
        <v>0.13732719122347697</v>
      </c>
      <c r="N33" s="219">
        <f t="shared" si="8"/>
        <v>22351788.054509807</v>
      </c>
      <c r="O33" s="219">
        <f t="shared" si="9"/>
        <v>23034628.738799766</v>
      </c>
      <c r="P33" s="220"/>
      <c r="Q33" s="100">
        <v>10</v>
      </c>
      <c r="R33" s="107" t="s">
        <v>149</v>
      </c>
      <c r="S33" s="102">
        <v>1923273.17</v>
      </c>
      <c r="T33" s="102">
        <v>1859487.61</v>
      </c>
      <c r="U33" s="102">
        <f>3319884.02</f>
        <v>3319884.02</v>
      </c>
      <c r="V33" s="102">
        <f>1694768.04</f>
        <v>1694768.04</v>
      </c>
      <c r="W33" s="102">
        <v>2841243.25</v>
      </c>
      <c r="X33" s="102">
        <v>2332380.98</v>
      </c>
      <c r="Y33" s="102">
        <f>2773153.98</f>
        <v>2773153.98</v>
      </c>
      <c r="Z33" s="102">
        <f>2320018.91</f>
        <v>2320018.91</v>
      </c>
      <c r="AA33" s="102">
        <f>2441388.21</f>
        <v>2441388.21</v>
      </c>
      <c r="AB33" s="102">
        <v>2299921.27</v>
      </c>
      <c r="AC33" s="102"/>
      <c r="AD33" s="102"/>
      <c r="AE33" s="45">
        <f t="shared" si="11"/>
        <v>23805519.440000001</v>
      </c>
      <c r="AF33" s="224">
        <f t="shared" si="12"/>
        <v>0.22180669926378108</v>
      </c>
    </row>
    <row r="34" spans="1:33">
      <c r="A34" s="234" t="s">
        <v>264</v>
      </c>
      <c r="B34" s="219">
        <f>SUM(B22:B33)</f>
        <v>91733474.390000001</v>
      </c>
      <c r="C34" s="218">
        <f>B34/B34</f>
        <v>1</v>
      </c>
      <c r="D34" s="219">
        <f>SUM(D22:D33)</f>
        <v>96394994.590000004</v>
      </c>
      <c r="E34" s="218">
        <f>D34/D34</f>
        <v>1</v>
      </c>
      <c r="F34" s="222">
        <f>SUM(F22:F33)</f>
        <v>105365056.96999998</v>
      </c>
      <c r="G34" s="218">
        <f>F34/F34</f>
        <v>1</v>
      </c>
      <c r="H34" s="219">
        <f>SUM(H22:H33)</f>
        <v>116361346.37</v>
      </c>
      <c r="I34" s="218">
        <f>H34/H34</f>
        <v>1</v>
      </c>
      <c r="J34" s="219">
        <f>SUM(J22:J33)</f>
        <v>123602664.37</v>
      </c>
      <c r="K34" s="218">
        <f>J34/J34</f>
        <v>1</v>
      </c>
      <c r="L34" s="219">
        <f>SUM(L22:L33)</f>
        <v>131885358.6982353</v>
      </c>
      <c r="M34" s="218">
        <f>L34/L34</f>
        <v>1</v>
      </c>
      <c r="N34" s="219">
        <f>SUM(N22:N33)</f>
        <v>158387627.28107846</v>
      </c>
      <c r="O34" s="219">
        <f>SUM(O22:O33)</f>
        <v>160677877.79373145</v>
      </c>
      <c r="P34" s="220"/>
      <c r="Q34" s="100">
        <v>11</v>
      </c>
      <c r="R34" s="107" t="s">
        <v>150</v>
      </c>
      <c r="S34" s="102">
        <v>223988.11</v>
      </c>
      <c r="T34" s="102">
        <v>238926.62</v>
      </c>
      <c r="U34" s="102">
        <f>444544.53</f>
        <v>444544.53</v>
      </c>
      <c r="V34" s="102">
        <f>350230.29</f>
        <v>350230.29</v>
      </c>
      <c r="W34" s="102">
        <v>301969.11</v>
      </c>
      <c r="X34" s="102">
        <v>250021.63</v>
      </c>
      <c r="Y34" s="102">
        <f>324346.38</f>
        <v>324346.38</v>
      </c>
      <c r="Z34" s="102">
        <f>519836.68</f>
        <v>519836.68</v>
      </c>
      <c r="AA34" s="102">
        <f>280877.52</f>
        <v>280877.52</v>
      </c>
      <c r="AB34" s="102">
        <v>280169.05</v>
      </c>
      <c r="AC34" s="102"/>
      <c r="AD34" s="102"/>
      <c r="AE34" s="45">
        <f t="shared" si="11"/>
        <v>3214909.92</v>
      </c>
      <c r="AF34" s="224">
        <f t="shared" si="12"/>
        <v>2.9954757323522044E-2</v>
      </c>
    </row>
    <row r="35" spans="1:33">
      <c r="A35" s="703" t="s">
        <v>302</v>
      </c>
      <c r="B35" s="704"/>
      <c r="C35" s="235"/>
      <c r="D35" s="224">
        <v>6.0015320688915311E-2</v>
      </c>
      <c r="E35" s="227"/>
      <c r="F35" s="224">
        <v>0.20274498470762234</v>
      </c>
      <c r="G35" s="227"/>
      <c r="H35" s="224">
        <v>0.15953984091624773</v>
      </c>
      <c r="I35" s="227"/>
      <c r="J35" s="224">
        <v>6.1875221132593451E-2</v>
      </c>
      <c r="K35" s="227"/>
      <c r="L35" s="224">
        <v>0.11385731154850591</v>
      </c>
      <c r="M35" s="227"/>
      <c r="N35" s="224">
        <v>8.5121633034852109E-2</v>
      </c>
      <c r="O35" s="224">
        <v>6.910798377128255E-2</v>
      </c>
      <c r="P35" s="220"/>
      <c r="Q35" s="100">
        <v>12</v>
      </c>
      <c r="R35" s="107" t="s">
        <v>151</v>
      </c>
      <c r="S35" s="102">
        <v>86173.57</v>
      </c>
      <c r="T35" s="102">
        <v>87289.61</v>
      </c>
      <c r="U35" s="102">
        <f>110850.94</f>
        <v>110850.94</v>
      </c>
      <c r="V35" s="102">
        <f>170732.58</f>
        <v>170732.58</v>
      </c>
      <c r="W35" s="102">
        <v>123830.35</v>
      </c>
      <c r="X35" s="102">
        <v>100646.67</v>
      </c>
      <c r="Y35" s="102">
        <f>152027.1</f>
        <v>152027.1</v>
      </c>
      <c r="Z35" s="102">
        <f>129842.8</f>
        <v>129842.8</v>
      </c>
      <c r="AA35" s="102">
        <f>156982.51</f>
        <v>156982.51</v>
      </c>
      <c r="AB35" s="102">
        <v>166303.81</v>
      </c>
      <c r="AC35" s="102"/>
      <c r="AD35" s="102"/>
      <c r="AE35" s="45">
        <f t="shared" si="11"/>
        <v>1284679.94</v>
      </c>
      <c r="AF35" s="224">
        <f t="shared" si="12"/>
        <v>1.1969939064761374E-2</v>
      </c>
    </row>
    <row r="36" spans="1:33">
      <c r="A36" s="211" t="s">
        <v>313</v>
      </c>
      <c r="B36" s="236">
        <f>B17-B34</f>
        <v>335252.49000000954</v>
      </c>
      <c r="C36" s="218"/>
      <c r="D36" s="236">
        <f>D17-D34</f>
        <v>8125761.4799999893</v>
      </c>
      <c r="E36" s="236"/>
      <c r="F36" s="236">
        <f>F17-F34</f>
        <v>-11138555.429999992</v>
      </c>
      <c r="G36" s="236"/>
      <c r="H36" s="236">
        <f>H17-H34</f>
        <v>-323055.85000000894</v>
      </c>
      <c r="I36" s="236"/>
      <c r="J36" s="236">
        <f>J17-J34</f>
        <v>263135.53000000119</v>
      </c>
      <c r="K36" s="236"/>
      <c r="L36" s="236">
        <f>L17-L34</f>
        <v>8492451.5741456747</v>
      </c>
      <c r="M36" s="236"/>
      <c r="N36" s="236">
        <f>N17-N34</f>
        <v>-8104089.430798769</v>
      </c>
      <c r="O36" s="236">
        <f>O17-O34</f>
        <v>7750185.4294941723</v>
      </c>
      <c r="P36" s="220"/>
      <c r="Q36" s="100">
        <v>13</v>
      </c>
      <c r="R36" s="107" t="s">
        <v>152</v>
      </c>
      <c r="S36" s="102">
        <v>231987.94</v>
      </c>
      <c r="T36" s="102">
        <v>219845.87</v>
      </c>
      <c r="U36" s="102">
        <f>232249.03</f>
        <v>232249.03</v>
      </c>
      <c r="V36" s="102">
        <f>197988.6</f>
        <v>197988.6</v>
      </c>
      <c r="W36" s="102">
        <v>276580.63</v>
      </c>
      <c r="X36" s="102">
        <v>164311.51</v>
      </c>
      <c r="Y36" s="102">
        <f>289137.43</f>
        <v>289137.43</v>
      </c>
      <c r="Z36" s="102">
        <f>282248.93</f>
        <v>282248.93</v>
      </c>
      <c r="AA36" s="102">
        <f>245971.82</f>
        <v>245971.82</v>
      </c>
      <c r="AB36" s="102">
        <v>265685.15999999997</v>
      </c>
      <c r="AC36" s="102"/>
      <c r="AD36" s="102"/>
      <c r="AE36" s="45">
        <f t="shared" si="11"/>
        <v>2406006.92</v>
      </c>
      <c r="AF36" s="224">
        <f t="shared" si="12"/>
        <v>2.2417845352044798E-2</v>
      </c>
    </row>
    <row r="37" spans="1:33">
      <c r="L37" s="61"/>
      <c r="P37" s="220"/>
      <c r="Q37" s="100">
        <v>14</v>
      </c>
      <c r="R37" s="107" t="s">
        <v>301</v>
      </c>
      <c r="S37" s="102"/>
      <c r="T37" s="102"/>
      <c r="U37" s="102"/>
      <c r="V37" s="102"/>
      <c r="W37" s="102"/>
      <c r="X37" s="102"/>
      <c r="Y37" s="102"/>
      <c r="Z37" s="102"/>
      <c r="AA37" s="102"/>
      <c r="AB37" s="102"/>
      <c r="AC37" s="102"/>
      <c r="AD37" s="102"/>
      <c r="AE37" s="45">
        <f t="shared" si="11"/>
        <v>0</v>
      </c>
      <c r="AF37" s="224">
        <f t="shared" si="12"/>
        <v>0</v>
      </c>
    </row>
    <row r="38" spans="1:33">
      <c r="P38" s="220"/>
      <c r="Q38" s="100">
        <v>15</v>
      </c>
      <c r="R38" s="107" t="s">
        <v>153</v>
      </c>
      <c r="S38" s="102">
        <v>1774960.27</v>
      </c>
      <c r="T38" s="102">
        <v>1896890.26</v>
      </c>
      <c r="U38" s="102">
        <f>1916270.79</f>
        <v>1916270.79</v>
      </c>
      <c r="V38" s="102">
        <f>1849406</f>
        <v>1849406</v>
      </c>
      <c r="W38" s="102">
        <v>1863619.41</v>
      </c>
      <c r="X38" s="102">
        <v>1860929.77</v>
      </c>
      <c r="Y38" s="102">
        <f>1884606.52</f>
        <v>1884606.52</v>
      </c>
      <c r="Z38" s="102">
        <f>1864145.39</f>
        <v>1864145.39</v>
      </c>
      <c r="AA38" s="102">
        <f>1865495.09</f>
        <v>1865495.09</v>
      </c>
      <c r="AB38" s="102">
        <v>1867358.26</v>
      </c>
      <c r="AC38" s="102"/>
      <c r="AD38" s="102"/>
      <c r="AE38" s="45">
        <f t="shared" si="11"/>
        <v>18643681.760000002</v>
      </c>
      <c r="AF38" s="224">
        <f t="shared" si="12"/>
        <v>0.17371154297778099</v>
      </c>
      <c r="AG38" s="205"/>
    </row>
    <row r="39" spans="1:33">
      <c r="B39" s="237" t="s">
        <v>273</v>
      </c>
      <c r="C39" s="237" t="s">
        <v>314</v>
      </c>
      <c r="D39" s="100" t="s">
        <v>315</v>
      </c>
      <c r="F39" s="100" t="s">
        <v>316</v>
      </c>
      <c r="H39" s="100" t="s">
        <v>317</v>
      </c>
      <c r="I39" s="237" t="s">
        <v>314</v>
      </c>
      <c r="J39" s="100" t="s">
        <v>316</v>
      </c>
      <c r="L39" s="237" t="s">
        <v>318</v>
      </c>
      <c r="P39" s="220"/>
      <c r="Q39" s="100">
        <v>16</v>
      </c>
      <c r="R39" s="107" t="s">
        <v>154</v>
      </c>
      <c r="S39" s="102">
        <v>423850.66</v>
      </c>
      <c r="T39" s="102">
        <v>711839.77</v>
      </c>
      <c r="U39" s="102">
        <f>329907.73</f>
        <v>329907.73</v>
      </c>
      <c r="V39" s="102">
        <f>490200.6</f>
        <v>490200.6</v>
      </c>
      <c r="W39" s="102">
        <v>504884.87</v>
      </c>
      <c r="X39" s="102">
        <v>615775.14</v>
      </c>
      <c r="Y39" s="102">
        <f>842005.18</f>
        <v>842005.18</v>
      </c>
      <c r="Z39" s="102">
        <f>30710.12</f>
        <v>30710.12</v>
      </c>
      <c r="AA39" s="102">
        <f>779118.3</f>
        <v>779118.3</v>
      </c>
      <c r="AB39" s="102">
        <v>501124.29</v>
      </c>
      <c r="AC39" s="102"/>
      <c r="AD39" s="102"/>
      <c r="AE39" s="45">
        <f t="shared" si="11"/>
        <v>5229416.66</v>
      </c>
      <c r="AF39" s="224">
        <f t="shared" si="12"/>
        <v>4.8724819945774156E-2</v>
      </c>
    </row>
    <row r="40" spans="1:33">
      <c r="B40" s="100" t="s">
        <v>290</v>
      </c>
      <c r="C40" s="238" t="s">
        <v>291</v>
      </c>
      <c r="D40" s="106" t="s">
        <v>319</v>
      </c>
      <c r="F40" s="100" t="s">
        <v>320</v>
      </c>
      <c r="H40" s="100" t="s">
        <v>321</v>
      </c>
      <c r="I40" s="238" t="s">
        <v>291</v>
      </c>
      <c r="J40" s="100" t="s">
        <v>245</v>
      </c>
      <c r="L40" s="100" t="s">
        <v>322</v>
      </c>
      <c r="P40" s="220"/>
      <c r="Q40" s="229" t="s">
        <v>304</v>
      </c>
      <c r="R40" s="107" t="s">
        <v>289</v>
      </c>
      <c r="S40" s="45">
        <f t="shared" ref="S40:AC40" si="13">SUM(S24:S39)</f>
        <v>9502229.8300000001</v>
      </c>
      <c r="T40" s="45">
        <f t="shared" si="13"/>
        <v>9870035.4800000004</v>
      </c>
      <c r="U40" s="45">
        <f t="shared" si="13"/>
        <v>11697778.77</v>
      </c>
      <c r="V40" s="45">
        <f t="shared" si="13"/>
        <v>9795349.0399999991</v>
      </c>
      <c r="W40" s="45">
        <f t="shared" si="13"/>
        <v>11144329.4</v>
      </c>
      <c r="X40" s="45">
        <f t="shared" si="13"/>
        <v>10512021.270000001</v>
      </c>
      <c r="Y40" s="45">
        <f t="shared" si="13"/>
        <v>11281097.359999999</v>
      </c>
      <c r="Z40" s="45">
        <f t="shared" si="13"/>
        <v>11242671.82</v>
      </c>
      <c r="AA40" s="45">
        <f t="shared" si="13"/>
        <v>10938610.350000001</v>
      </c>
      <c r="AB40" s="45">
        <f>SUM(AB24:AB39)</f>
        <v>11341397.140000001</v>
      </c>
      <c r="AC40" s="45">
        <f t="shared" si="13"/>
        <v>0</v>
      </c>
      <c r="AD40" s="45">
        <f>SUM(AD24:AD39)</f>
        <v>0</v>
      </c>
      <c r="AE40" s="45">
        <f>SUM(AE24:AE39)</f>
        <v>107325520.45999999</v>
      </c>
      <c r="AF40" s="224">
        <f t="shared" si="12"/>
        <v>1</v>
      </c>
    </row>
    <row r="41" spans="1:33">
      <c r="B41" s="237" t="s">
        <v>124</v>
      </c>
      <c r="C41" s="45">
        <f>D41/$D$53</f>
        <v>9.7155068319037571E-2</v>
      </c>
      <c r="D41" s="45">
        <v>11654886.960000001</v>
      </c>
      <c r="F41" s="184">
        <f>D41-L5</f>
        <v>0</v>
      </c>
      <c r="H41" s="45">
        <v>9502229.8300000001</v>
      </c>
      <c r="I41" s="239">
        <f>H41/$H$53</f>
        <v>8.8536536224312665E-2</v>
      </c>
      <c r="J41" s="184">
        <f>H41-L22</f>
        <v>0</v>
      </c>
      <c r="L41" s="184">
        <f>D41-H41</f>
        <v>2152657.1300000008</v>
      </c>
      <c r="O41" s="124"/>
      <c r="R41" s="205"/>
      <c r="S41" s="205">
        <f>S40-$H41</f>
        <v>0</v>
      </c>
      <c r="T41" s="205">
        <f>T40-H42</f>
        <v>0</v>
      </c>
      <c r="U41" s="205">
        <f>U40-$H43</f>
        <v>0</v>
      </c>
      <c r="V41" s="205">
        <f>V40-$H44</f>
        <v>0</v>
      </c>
      <c r="W41" s="205">
        <f>W40-$H45</f>
        <v>0</v>
      </c>
      <c r="X41" s="205">
        <f>X40-$H46</f>
        <v>0</v>
      </c>
      <c r="Y41" s="205">
        <f>Y40-$H47</f>
        <v>0</v>
      </c>
      <c r="Z41" s="205">
        <f>Z40-$H48</f>
        <v>0</v>
      </c>
      <c r="AA41" s="205">
        <f>AA40-$H49</f>
        <v>0</v>
      </c>
      <c r="AB41" s="205">
        <f>AB40-$H50</f>
        <v>0</v>
      </c>
      <c r="AC41" s="205">
        <f>AC40-$H51</f>
        <v>0</v>
      </c>
      <c r="AD41" s="205">
        <f>AD40-$H52</f>
        <v>0</v>
      </c>
      <c r="AE41" s="205">
        <f>AE40-$H53</f>
        <v>0</v>
      </c>
      <c r="AF41" s="92"/>
    </row>
    <row r="42" spans="1:33">
      <c r="B42" s="237" t="s">
        <v>125</v>
      </c>
      <c r="C42" s="45">
        <f t="shared" ref="C42:C52" si="14">D42/$D$53</f>
        <v>9.9265513688904891E-2</v>
      </c>
      <c r="D42" s="45">
        <v>11908059.57</v>
      </c>
      <c r="F42" s="184">
        <f t="shared" ref="F42:F52" si="15">D42-L6</f>
        <v>0</v>
      </c>
      <c r="H42" s="45">
        <v>9870035.4800000004</v>
      </c>
      <c r="I42" s="239">
        <f t="shared" ref="I42:I52" si="16">H42/$H$53</f>
        <v>9.1963546393222878E-2</v>
      </c>
      <c r="J42" s="184">
        <f t="shared" ref="J42:J52" si="17">H42-L23</f>
        <v>0</v>
      </c>
      <c r="L42" s="184">
        <f>D42-H42</f>
        <v>2038024.0899999999</v>
      </c>
      <c r="O42" s="124"/>
      <c r="S42" s="112" t="s">
        <v>323</v>
      </c>
      <c r="W42" s="112" t="s">
        <v>324</v>
      </c>
      <c r="Y42" s="60"/>
      <c r="AE42" s="409">
        <f>85045512.97</f>
        <v>85045512.969999999</v>
      </c>
    </row>
    <row r="43" spans="1:33">
      <c r="B43" s="237" t="s">
        <v>126</v>
      </c>
      <c r="C43" s="45">
        <f t="shared" si="14"/>
        <v>9.3164028443963834E-2</v>
      </c>
      <c r="D43" s="45">
        <f>11176115.04</f>
        <v>11176115.039999999</v>
      </c>
      <c r="F43" s="184">
        <f>D43-L7</f>
        <v>39551.046825395897</v>
      </c>
      <c r="H43" s="45">
        <v>11697778.77</v>
      </c>
      <c r="I43" s="239">
        <f t="shared" si="16"/>
        <v>0.10899345020516102</v>
      </c>
      <c r="J43" s="184">
        <f>H43-L24</f>
        <v>1352579.2170588225</v>
      </c>
      <c r="L43" s="184">
        <f>D43-H43</f>
        <v>-521663.73000000045</v>
      </c>
      <c r="O43" s="124"/>
      <c r="P43" s="240"/>
      <c r="Q43" s="241"/>
      <c r="R43" s="242"/>
      <c r="S43" s="242" t="s">
        <v>124</v>
      </c>
      <c r="T43" s="100" t="s">
        <v>125</v>
      </c>
      <c r="U43" s="100" t="s">
        <v>126</v>
      </c>
      <c r="V43" s="100" t="s">
        <v>127</v>
      </c>
      <c r="W43" s="100" t="s">
        <v>292</v>
      </c>
      <c r="X43" s="100" t="s">
        <v>293</v>
      </c>
      <c r="Y43" s="100" t="s">
        <v>294</v>
      </c>
      <c r="Z43" s="100" t="s">
        <v>295</v>
      </c>
      <c r="AA43" s="100" t="s">
        <v>296</v>
      </c>
      <c r="AB43" s="100" t="s">
        <v>298</v>
      </c>
      <c r="AC43" s="100" t="s">
        <v>299</v>
      </c>
      <c r="AD43" s="100" t="s">
        <v>300</v>
      </c>
      <c r="AE43" s="100" t="s">
        <v>289</v>
      </c>
    </row>
    <row r="44" spans="1:33">
      <c r="B44" s="237" t="s">
        <v>127</v>
      </c>
      <c r="C44" s="45">
        <f>D44/$D$53</f>
        <v>9.822277461353654E-2</v>
      </c>
      <c r="D44" s="45">
        <f>11782970.82</f>
        <v>11782970.82</v>
      </c>
      <c r="F44" s="184">
        <f t="shared" si="15"/>
        <v>232089.40095238201</v>
      </c>
      <c r="H44" s="45">
        <f>9795349.04</f>
        <v>9795349.0399999991</v>
      </c>
      <c r="I44" s="239">
        <f t="shared" si="16"/>
        <v>9.1267659341570176E-2</v>
      </c>
      <c r="J44" s="184">
        <f t="shared" si="17"/>
        <v>-558050.53647059016</v>
      </c>
      <c r="L44" s="184">
        <f>D44-H44</f>
        <v>1987621.7800000012</v>
      </c>
      <c r="O44" s="61"/>
      <c r="P44" s="243" t="s">
        <v>325</v>
      </c>
      <c r="Q44" s="244" t="s">
        <v>326</v>
      </c>
      <c r="R44" s="245"/>
      <c r="S44" s="246">
        <f>SUM(S45:S47)</f>
        <v>10156873.166126085</v>
      </c>
      <c r="T44" s="246">
        <f t="shared" ref="T44:AC44" si="18">SUM(T45:T47)</f>
        <v>10370897.690090632</v>
      </c>
      <c r="U44" s="246">
        <f t="shared" si="18"/>
        <v>9718698.4906163756</v>
      </c>
      <c r="V44" s="246">
        <f t="shared" si="18"/>
        <v>10068950.004169472</v>
      </c>
      <c r="W44" s="246">
        <f t="shared" si="18"/>
        <v>9964004.7283447981</v>
      </c>
      <c r="X44" s="246">
        <f t="shared" si="18"/>
        <v>9084406.9052386843</v>
      </c>
      <c r="Y44" s="246">
        <f t="shared" si="18"/>
        <v>10577707.583242672</v>
      </c>
      <c r="Z44" s="246">
        <f t="shared" si="18"/>
        <v>9277833.8443450928</v>
      </c>
      <c r="AA44" s="246">
        <f t="shared" si="18"/>
        <v>9183467.0399999302</v>
      </c>
      <c r="AB44" s="246">
        <f t="shared" si="18"/>
        <v>9944780.9667185843</v>
      </c>
      <c r="AC44" s="246">
        <f t="shared" si="18"/>
        <v>9303486.1401222907</v>
      </c>
      <c r="AD44" s="246">
        <f>SUM(AD45:AD47)</f>
        <v>14670259.420985375</v>
      </c>
      <c r="AE44" s="246">
        <f>SUM(AE45:AE47)</f>
        <v>122321365.97999999</v>
      </c>
    </row>
    <row r="45" spans="1:33">
      <c r="B45" s="237" t="s">
        <v>292</v>
      </c>
      <c r="C45" s="45">
        <f t="shared" si="14"/>
        <v>9.9942605388906119E-2</v>
      </c>
      <c r="D45" s="45">
        <v>11989284.640000001</v>
      </c>
      <c r="F45" s="184">
        <f t="shared" si="15"/>
        <v>562544.45904761925</v>
      </c>
      <c r="H45" s="45">
        <v>11144329.4</v>
      </c>
      <c r="I45" s="239">
        <f t="shared" si="16"/>
        <v>0.10383671425244539</v>
      </c>
      <c r="J45" s="184">
        <f t="shared" si="17"/>
        <v>907808.70588235371</v>
      </c>
      <c r="L45" s="184">
        <f>D45-H45</f>
        <v>844955.24000000022</v>
      </c>
      <c r="P45" s="107" t="s">
        <v>327</v>
      </c>
      <c r="Q45" s="247" t="s">
        <v>328</v>
      </c>
      <c r="R45" s="248"/>
      <c r="S45" s="246">
        <f>89132085.65*S21</f>
        <v>7401023.375812836</v>
      </c>
      <c r="T45" s="246">
        <f t="shared" ref="T45:AC45" si="19">89132085.65*T21</f>
        <v>7556976.933462997</v>
      </c>
      <c r="U45" s="246">
        <f t="shared" si="19"/>
        <v>7081738.0049024252</v>
      </c>
      <c r="V45" s="246">
        <f t="shared" si="19"/>
        <v>7336956.2789540812</v>
      </c>
      <c r="W45" s="246">
        <f t="shared" si="19"/>
        <v>7260485.6539048404</v>
      </c>
      <c r="X45" s="246">
        <f t="shared" si="19"/>
        <v>6619547.8432572177</v>
      </c>
      <c r="Y45" s="246">
        <f t="shared" si="19"/>
        <v>7707673.39570418</v>
      </c>
      <c r="Z45" s="246">
        <f t="shared" si="19"/>
        <v>6760492.5291289296</v>
      </c>
      <c r="AA45" s="246">
        <f t="shared" si="19"/>
        <v>6691730.1341047846</v>
      </c>
      <c r="AB45" s="246">
        <f t="shared" si="19"/>
        <v>7246477.8478763895</v>
      </c>
      <c r="AC45" s="246">
        <f t="shared" si="19"/>
        <v>6779184.6243815785</v>
      </c>
      <c r="AD45" s="246">
        <f>89132085.65*AD21</f>
        <v>10689799.028509736</v>
      </c>
      <c r="AE45" s="45">
        <f>SUM(S45:AD45)</f>
        <v>89132085.649999991</v>
      </c>
      <c r="AF45" s="124"/>
      <c r="AG45" s="60"/>
    </row>
    <row r="46" spans="1:33">
      <c r="B46" s="237" t="s">
        <v>293</v>
      </c>
      <c r="C46" s="45">
        <f t="shared" si="14"/>
        <v>9.3968953362917926E-2</v>
      </c>
      <c r="D46" s="45">
        <v>11272675.199999999</v>
      </c>
      <c r="F46" s="184">
        <f t="shared" si="15"/>
        <v>886423.61587301455</v>
      </c>
      <c r="H46" s="45">
        <v>10512021.27</v>
      </c>
      <c r="I46" s="239">
        <f t="shared" si="16"/>
        <v>9.7945215871725583E-2</v>
      </c>
      <c r="J46" s="184">
        <f>H46-L27</f>
        <v>-696073.73294117674</v>
      </c>
      <c r="L46" s="184">
        <f t="shared" ref="L46:L52" si="20">D46-H46</f>
        <v>760653.9299999997</v>
      </c>
      <c r="P46" s="107" t="s">
        <v>329</v>
      </c>
      <c r="Q46" s="244" t="s">
        <v>330</v>
      </c>
      <c r="R46" s="245"/>
      <c r="S46" s="246">
        <f>115171*S21</f>
        <v>9563.1472886525025</v>
      </c>
      <c r="T46" s="246">
        <f t="shared" ref="T46:AD46" si="21">115171*T21</f>
        <v>9764.6608856601651</v>
      </c>
      <c r="U46" s="246">
        <f t="shared" si="21"/>
        <v>9150.5863664553108</v>
      </c>
      <c r="V46" s="246">
        <f t="shared" si="21"/>
        <v>9480.3637258253748</v>
      </c>
      <c r="W46" s="246">
        <f t="shared" si="21"/>
        <v>9381.5530866114568</v>
      </c>
      <c r="X46" s="246">
        <f t="shared" si="21"/>
        <v>8553.372661439309</v>
      </c>
      <c r="Y46" s="246">
        <f t="shared" si="21"/>
        <v>9959.3815872594932</v>
      </c>
      <c r="Z46" s="246">
        <f t="shared" si="21"/>
        <v>8735.4927172884782</v>
      </c>
      <c r="AA46" s="246">
        <f t="shared" si="21"/>
        <v>8646.6421789040905</v>
      </c>
      <c r="AB46" s="246">
        <f t="shared" si="21"/>
        <v>9363.4530610557031</v>
      </c>
      <c r="AC46" s="246">
        <f t="shared" si="21"/>
        <v>8759.6454933246678</v>
      </c>
      <c r="AD46" s="246">
        <f t="shared" si="21"/>
        <v>13812.700947523434</v>
      </c>
      <c r="AE46" s="45">
        <f t="shared" ref="AE46:AE53" si="22">SUM(S46:AD46)</f>
        <v>115170.99999999999</v>
      </c>
      <c r="AF46" s="124"/>
      <c r="AG46" s="60"/>
    </row>
    <row r="47" spans="1:33">
      <c r="B47" s="237" t="s">
        <v>294</v>
      </c>
      <c r="C47" s="45">
        <f t="shared" si="14"/>
        <v>0.11881743767865699</v>
      </c>
      <c r="D47" s="45">
        <f>14253541.57</f>
        <v>14253541.57</v>
      </c>
      <c r="F47" s="184">
        <f t="shared" si="15"/>
        <v>2100843.6779365074</v>
      </c>
      <c r="H47" s="45">
        <f>11281097.36</f>
        <v>11281097.359999999</v>
      </c>
      <c r="I47" s="239">
        <f t="shared" si="16"/>
        <v>0.10511104266393417</v>
      </c>
      <c r="J47" s="184">
        <f t="shared" si="17"/>
        <v>1078241.6041176468</v>
      </c>
      <c r="L47" s="184">
        <f t="shared" si="20"/>
        <v>2972444.2100000009</v>
      </c>
      <c r="P47" s="107" t="s">
        <v>331</v>
      </c>
      <c r="Q47" s="247" t="s">
        <v>332</v>
      </c>
      <c r="R47" s="248"/>
      <c r="S47" s="246">
        <f>33074109.33*S21</f>
        <v>2746286.6430245973</v>
      </c>
      <c r="T47" s="246">
        <f t="shared" ref="T47:AD47" si="23">33074109.33*T21</f>
        <v>2804156.0957419747</v>
      </c>
      <c r="U47" s="246">
        <f t="shared" si="23"/>
        <v>2627809.8993474953</v>
      </c>
      <c r="V47" s="246">
        <f t="shared" si="23"/>
        <v>2722513.3614895642</v>
      </c>
      <c r="W47" s="246">
        <f t="shared" si="23"/>
        <v>2694137.5213533468</v>
      </c>
      <c r="X47" s="246">
        <f t="shared" si="23"/>
        <v>2456305.6893200264</v>
      </c>
      <c r="Y47" s="246">
        <f t="shared" si="23"/>
        <v>2860074.8059512326</v>
      </c>
      <c r="Z47" s="246">
        <f t="shared" si="23"/>
        <v>2508605.8224988747</v>
      </c>
      <c r="AA47" s="246">
        <f>33074109.33*AA21</f>
        <v>2483090.2637162418</v>
      </c>
      <c r="AB47" s="246">
        <f t="shared" si="23"/>
        <v>2688939.6657811385</v>
      </c>
      <c r="AC47" s="246">
        <f t="shared" si="23"/>
        <v>2515541.8702473869</v>
      </c>
      <c r="AD47" s="246">
        <f t="shared" si="23"/>
        <v>3966647.6915281154</v>
      </c>
      <c r="AE47" s="45">
        <f t="shared" si="22"/>
        <v>33074109.329999994</v>
      </c>
      <c r="AF47" s="124"/>
      <c r="AG47" s="60"/>
    </row>
    <row r="48" spans="1:33">
      <c r="B48" s="237" t="s">
        <v>295</v>
      </c>
      <c r="C48" s="45">
        <f t="shared" si="14"/>
        <v>9.8345823138626207E-2</v>
      </c>
      <c r="D48" s="45">
        <f>11797731.93</f>
        <v>11797731.93</v>
      </c>
      <c r="F48" s="184">
        <f t="shared" si="15"/>
        <v>1182672.9077777769</v>
      </c>
      <c r="H48" s="45">
        <v>11242671.82</v>
      </c>
      <c r="I48" s="239">
        <f t="shared" si="16"/>
        <v>0.10475301467734435</v>
      </c>
      <c r="J48" s="184">
        <f t="shared" si="17"/>
        <v>842393.09647058882</v>
      </c>
      <c r="L48" s="184">
        <f>D48-H48</f>
        <v>555060.1099999994</v>
      </c>
      <c r="P48" s="107" t="s">
        <v>333</v>
      </c>
      <c r="Q48" s="244" t="s">
        <v>334</v>
      </c>
      <c r="R48" s="245"/>
      <c r="S48" s="246">
        <f>SUM(S49:S51)</f>
        <v>512195.70372697769</v>
      </c>
      <c r="T48" s="246">
        <f>SUM(T49:T51)</f>
        <v>522988.63575181091</v>
      </c>
      <c r="U48" s="246">
        <f t="shared" ref="U48:AE48" si="24">SUM(U49:U51)</f>
        <v>490099.21964105539</v>
      </c>
      <c r="V48" s="246">
        <f t="shared" si="24"/>
        <v>507761.87206681079</v>
      </c>
      <c r="W48" s="246">
        <f t="shared" si="24"/>
        <v>502469.64103028382</v>
      </c>
      <c r="X48" s="246">
        <f t="shared" si="24"/>
        <v>458112.85733969969</v>
      </c>
      <c r="Y48" s="246">
        <f t="shared" si="24"/>
        <v>533417.74489083071</v>
      </c>
      <c r="Z48" s="246">
        <f t="shared" si="24"/>
        <v>467867.08441085933</v>
      </c>
      <c r="AA48" s="246">
        <f t="shared" si="24"/>
        <v>463108.30964135297</v>
      </c>
      <c r="AB48" s="246">
        <f t="shared" si="24"/>
        <v>501500.21589782706</v>
      </c>
      <c r="AC48" s="246">
        <f t="shared" si="24"/>
        <v>469160.69076715742</v>
      </c>
      <c r="AD48" s="246">
        <f t="shared" si="24"/>
        <v>739798.9248353336</v>
      </c>
      <c r="AE48" s="246">
        <f t="shared" si="24"/>
        <v>6168480.9000000004</v>
      </c>
    </row>
    <row r="49" spans="1:34">
      <c r="B49" s="237" t="s">
        <v>296</v>
      </c>
      <c r="C49" s="45">
        <f t="shared" si="14"/>
        <v>8.9008032334207204E-2</v>
      </c>
      <c r="D49" s="45">
        <f>10677554.69</f>
        <v>10677554.689999999</v>
      </c>
      <c r="F49" s="184">
        <f t="shared" si="15"/>
        <v>174123.48365079425</v>
      </c>
      <c r="H49" s="45">
        <f>10938610.35</f>
        <v>10938610.35</v>
      </c>
      <c r="I49" s="239">
        <f t="shared" si="16"/>
        <v>0.1019199376170442</v>
      </c>
      <c r="J49" s="184">
        <f t="shared" si="17"/>
        <v>619145.47941176407</v>
      </c>
      <c r="L49" s="184">
        <f t="shared" si="20"/>
        <v>-261055.66000000015</v>
      </c>
      <c r="N49" s="205"/>
      <c r="P49" s="107" t="s">
        <v>335</v>
      </c>
      <c r="Q49" s="247" t="s">
        <v>336</v>
      </c>
      <c r="R49" s="248"/>
      <c r="S49" s="246">
        <f>5453968.29*S21</f>
        <v>452866.6249742576</v>
      </c>
      <c r="T49" s="246">
        <f t="shared" ref="T49:AD49" si="25">5453968.29*T21</f>
        <v>462409.38112019398</v>
      </c>
      <c r="U49" s="246">
        <f t="shared" si="25"/>
        <v>433329.63921085681</v>
      </c>
      <c r="V49" s="246">
        <f t="shared" si="25"/>
        <v>448946.37659061613</v>
      </c>
      <c r="W49" s="246">
        <f t="shared" si="25"/>
        <v>444267.15966111707</v>
      </c>
      <c r="X49" s="246">
        <f t="shared" si="25"/>
        <v>405048.34783098957</v>
      </c>
      <c r="Y49" s="246">
        <f t="shared" si="25"/>
        <v>471630.45701542177</v>
      </c>
      <c r="Z49" s="246">
        <f t="shared" si="25"/>
        <v>413672.71515934827</v>
      </c>
      <c r="AA49" s="246">
        <f t="shared" si="25"/>
        <v>409465.16274686699</v>
      </c>
      <c r="AB49" s="246">
        <f t="shared" si="25"/>
        <v>443410.02578688419</v>
      </c>
      <c r="AC49" s="246">
        <f t="shared" si="25"/>
        <v>414816.47942827747</v>
      </c>
      <c r="AD49" s="246">
        <f t="shared" si="25"/>
        <v>654105.92047516967</v>
      </c>
      <c r="AE49" s="45">
        <f t="shared" si="22"/>
        <v>5453968.29</v>
      </c>
    </row>
    <row r="50" spans="1:34">
      <c r="B50" s="237" t="s">
        <v>298</v>
      </c>
      <c r="C50" s="45">
        <f>D50/$D$53</f>
        <v>0.11210976303124257</v>
      </c>
      <c r="D50" s="45">
        <v>13448877.529999999</v>
      </c>
      <c r="F50" s="184">
        <f t="shared" si="15"/>
        <v>2044877.4061904754</v>
      </c>
      <c r="H50" s="45">
        <v>11341397.140000001</v>
      </c>
      <c r="I50" s="239">
        <f t="shared" si="16"/>
        <v>0.10567288275323963</v>
      </c>
      <c r="J50" s="184">
        <f t="shared" si="17"/>
        <v>891193.27529411763</v>
      </c>
      <c r="L50" s="184">
        <f t="shared" si="20"/>
        <v>2107480.3899999987</v>
      </c>
      <c r="N50" s="205"/>
      <c r="P50" s="107" t="s">
        <v>337</v>
      </c>
      <c r="Q50" s="247" t="s">
        <v>338</v>
      </c>
      <c r="R50" s="248"/>
      <c r="S50" s="246">
        <f>10608*S21</f>
        <v>880.82821576634524</v>
      </c>
      <c r="T50" s="246">
        <f t="shared" ref="T50:AA50" si="26">10608*T21</f>
        <v>899.38893189329815</v>
      </c>
      <c r="U50" s="246">
        <f t="shared" si="26"/>
        <v>842.82866498821704</v>
      </c>
      <c r="V50" s="246">
        <f t="shared" si="26"/>
        <v>873.20330989186152</v>
      </c>
      <c r="W50" s="246">
        <f t="shared" si="26"/>
        <v>864.10220578769258</v>
      </c>
      <c r="X50" s="246">
        <f t="shared" si="26"/>
        <v>787.82138900025348</v>
      </c>
      <c r="Y50" s="246">
        <f t="shared" si="26"/>
        <v>917.32397806434517</v>
      </c>
      <c r="Z50" s="246">
        <f t="shared" si="26"/>
        <v>804.59583354313315</v>
      </c>
      <c r="AA50" s="246">
        <f t="shared" si="26"/>
        <v>796.41211966393098</v>
      </c>
      <c r="AB50" s="246">
        <f>10608*AB21</f>
        <v>862.43507542418581</v>
      </c>
      <c r="AC50" s="246">
        <f>10608*AC21</f>
        <v>806.82046168903685</v>
      </c>
      <c r="AD50" s="246">
        <f>10608*AD21</f>
        <v>1272.2398142876989</v>
      </c>
      <c r="AE50" s="45">
        <f t="shared" si="22"/>
        <v>10607.999999999998</v>
      </c>
      <c r="AG50" s="205"/>
    </row>
    <row r="51" spans="1:34">
      <c r="B51" s="237" t="s">
        <v>299</v>
      </c>
      <c r="C51" s="45">
        <f t="shared" si="14"/>
        <v>0</v>
      </c>
      <c r="D51" s="45"/>
      <c r="F51" s="184">
        <f t="shared" si="15"/>
        <v>-10645403.482539682</v>
      </c>
      <c r="H51" s="45"/>
      <c r="I51" s="239">
        <f t="shared" si="16"/>
        <v>0</v>
      </c>
      <c r="J51" s="184">
        <f t="shared" si="17"/>
        <v>-10885629.473529411</v>
      </c>
      <c r="L51" s="184">
        <f t="shared" si="20"/>
        <v>0</v>
      </c>
      <c r="P51" s="249" t="s">
        <v>339</v>
      </c>
      <c r="Q51" s="244" t="s">
        <v>340</v>
      </c>
      <c r="R51" s="245"/>
      <c r="S51" s="246">
        <f>703904.61*S21</f>
        <v>58448.250536953718</v>
      </c>
      <c r="T51" s="246">
        <f t="shared" ref="T51:AB51" si="27">703904.61*T21</f>
        <v>59679.865699723661</v>
      </c>
      <c r="U51" s="246">
        <f t="shared" si="27"/>
        <v>55926.751765210363</v>
      </c>
      <c r="V51" s="246">
        <f t="shared" si="27"/>
        <v>57942.292166302781</v>
      </c>
      <c r="W51" s="246">
        <f t="shared" si="27"/>
        <v>57338.379163379097</v>
      </c>
      <c r="X51" s="246">
        <f t="shared" si="27"/>
        <v>52276.688119709819</v>
      </c>
      <c r="Y51" s="246">
        <f t="shared" si="27"/>
        <v>60869.963897344591</v>
      </c>
      <c r="Z51" s="246">
        <f t="shared" si="27"/>
        <v>53389.773417967954</v>
      </c>
      <c r="AA51" s="246">
        <f t="shared" si="27"/>
        <v>52846.734774822085</v>
      </c>
      <c r="AB51" s="246">
        <f t="shared" si="27"/>
        <v>57227.755035518676</v>
      </c>
      <c r="AC51" s="246">
        <f>703904.61*AC21</f>
        <v>53537.390877190934</v>
      </c>
      <c r="AD51" s="246">
        <f>703904.61*AD21</f>
        <v>84420.764545876242</v>
      </c>
      <c r="AE51" s="45">
        <f t="shared" si="22"/>
        <v>703904.6100000001</v>
      </c>
    </row>
    <row r="52" spans="1:34">
      <c r="B52" s="237" t="s">
        <v>300</v>
      </c>
      <c r="C52" s="45">
        <f t="shared" si="14"/>
        <v>0</v>
      </c>
      <c r="D52" s="45"/>
      <c r="F52" s="184">
        <f t="shared" si="15"/>
        <v>-16993834.838095237</v>
      </c>
      <c r="H52" s="45"/>
      <c r="I52" s="239">
        <f t="shared" si="16"/>
        <v>0</v>
      </c>
      <c r="J52" s="184">
        <f t="shared" si="17"/>
        <v>-18111445.873529412</v>
      </c>
      <c r="L52" s="184">
        <f t="shared" si="20"/>
        <v>0</v>
      </c>
      <c r="P52" s="250" t="s">
        <v>341</v>
      </c>
      <c r="Q52" s="251"/>
      <c r="R52" s="231"/>
      <c r="S52" s="246">
        <f>S44+S48</f>
        <v>10669068.869853063</v>
      </c>
      <c r="T52" s="246">
        <f t="shared" ref="T52:AE52" si="28">T44+T48</f>
        <v>10893886.325842444</v>
      </c>
      <c r="U52" s="246">
        <f t="shared" si="28"/>
        <v>10208797.710257431</v>
      </c>
      <c r="V52" s="246">
        <f t="shared" si="28"/>
        <v>10576711.876236282</v>
      </c>
      <c r="W52" s="246">
        <f t="shared" si="28"/>
        <v>10466474.369375082</v>
      </c>
      <c r="X52" s="246">
        <f>X44+X48</f>
        <v>9542519.7625783831</v>
      </c>
      <c r="Y52" s="246">
        <f t="shared" si="28"/>
        <v>11111125.328133503</v>
      </c>
      <c r="Z52" s="246">
        <f t="shared" si="28"/>
        <v>9745700.928755952</v>
      </c>
      <c r="AA52" s="246">
        <f t="shared" si="28"/>
        <v>9646575.349641284</v>
      </c>
      <c r="AB52" s="246">
        <f t="shared" si="28"/>
        <v>10446281.182616411</v>
      </c>
      <c r="AC52" s="246">
        <f t="shared" si="28"/>
        <v>9772646.8308894485</v>
      </c>
      <c r="AD52" s="246">
        <f>AD44+AD48</f>
        <v>15410058.345820708</v>
      </c>
      <c r="AE52" s="246">
        <f t="shared" si="28"/>
        <v>128489846.88</v>
      </c>
    </row>
    <row r="53" spans="1:34">
      <c r="B53" s="107" t="s">
        <v>264</v>
      </c>
      <c r="C53" s="175">
        <f>SUM(C41:C52)</f>
        <v>0.99999999999999967</v>
      </c>
      <c r="D53" s="45">
        <f>SUM(D41:D52)</f>
        <v>119961697.95000002</v>
      </c>
      <c r="F53" s="45">
        <f>SUM(F41:F52)</f>
        <v>-20416112.322380953</v>
      </c>
      <c r="G53" s="224">
        <f>(H53-H34)/H34</f>
        <v>-7.7653157099681042E-2</v>
      </c>
      <c r="H53" s="45">
        <f>SUM(H41:H52)</f>
        <v>107325520.45999999</v>
      </c>
      <c r="I53" s="175">
        <f>SUM(I41:I52)</f>
        <v>0.99999999999999989</v>
      </c>
      <c r="J53" s="45">
        <f>SUM(J41:J52)</f>
        <v>-24559838.238235295</v>
      </c>
      <c r="L53" s="175">
        <f>SUM(L41:L52)</f>
        <v>12636177.49</v>
      </c>
      <c r="P53" s="107" t="s">
        <v>342</v>
      </c>
      <c r="Q53" s="252" t="s">
        <v>343</v>
      </c>
      <c r="R53" s="248"/>
      <c r="S53" s="184">
        <f>S20-S52</f>
        <v>987109.12348315679</v>
      </c>
      <c r="T53" s="184">
        <f t="shared" ref="T53:AD53" si="29">T20-T52</f>
        <v>1007909.3793098312</v>
      </c>
      <c r="U53" s="184">
        <f t="shared" si="29"/>
        <v>944524.53934978135</v>
      </c>
      <c r="V53" s="184">
        <f t="shared" si="29"/>
        <v>978564.19494921342</v>
      </c>
      <c r="W53" s="184">
        <f t="shared" si="29"/>
        <v>968364.9498135671</v>
      </c>
      <c r="X53" s="184">
        <f t="shared" si="29"/>
        <v>882880.07449980639</v>
      </c>
      <c r="Y53" s="184">
        <f t="shared" si="29"/>
        <v>1028008.4717192762</v>
      </c>
      <c r="Z53" s="184">
        <f t="shared" si="29"/>
        <v>901678.52685777657</v>
      </c>
      <c r="AA53" s="184">
        <f t="shared" si="29"/>
        <v>892507.36443411373</v>
      </c>
      <c r="AB53" s="184">
        <f t="shared" si="29"/>
        <v>966496.66316879727</v>
      </c>
      <c r="AC53" s="184">
        <f t="shared" si="29"/>
        <v>904171.57907825522</v>
      </c>
      <c r="AD53" s="184">
        <f t="shared" si="29"/>
        <v>1425748.5233364012</v>
      </c>
      <c r="AE53" s="45">
        <f t="shared" si="22"/>
        <v>11887963.389999976</v>
      </c>
    </row>
    <row r="54" spans="1:34">
      <c r="C54" s="205"/>
      <c r="D54" s="61">
        <f>119961697.95-D53</f>
        <v>0</v>
      </c>
      <c r="H54" s="61">
        <f>107325520.46-H53</f>
        <v>0</v>
      </c>
      <c r="P54" s="119" t="s">
        <v>344</v>
      </c>
      <c r="Q54" s="252"/>
      <c r="R54" s="248"/>
      <c r="S54" s="184">
        <f>S52+S53</f>
        <v>11656177.993336219</v>
      </c>
      <c r="T54" s="184">
        <f t="shared" ref="T54:AD54" si="30">T52+T53</f>
        <v>11901795.705152275</v>
      </c>
      <c r="U54" s="184">
        <f t="shared" si="30"/>
        <v>11153322.249607213</v>
      </c>
      <c r="V54" s="184">
        <f t="shared" si="30"/>
        <v>11555276.071185496</v>
      </c>
      <c r="W54" s="184">
        <f t="shared" si="30"/>
        <v>11434839.319188649</v>
      </c>
      <c r="X54" s="184">
        <f>X52+X53</f>
        <v>10425399.837078189</v>
      </c>
      <c r="Y54" s="184">
        <f t="shared" si="30"/>
        <v>12139133.799852779</v>
      </c>
      <c r="Z54" s="184">
        <f t="shared" si="30"/>
        <v>10647379.455613729</v>
      </c>
      <c r="AA54" s="184">
        <f t="shared" si="30"/>
        <v>10539082.714075398</v>
      </c>
      <c r="AB54" s="184">
        <f t="shared" si="30"/>
        <v>11412777.845785208</v>
      </c>
      <c r="AC54" s="184">
        <f t="shared" si="30"/>
        <v>10676818.409967704</v>
      </c>
      <c r="AD54" s="184">
        <f t="shared" si="30"/>
        <v>16835806.869157109</v>
      </c>
      <c r="AE54" s="45">
        <f>SUM(S54:AD54)</f>
        <v>140377810.26999998</v>
      </c>
    </row>
    <row r="55" spans="1:34">
      <c r="D55" s="61"/>
      <c r="F55" s="205"/>
      <c r="H55" s="237" t="s">
        <v>318</v>
      </c>
      <c r="I55" s="238" t="s">
        <v>345</v>
      </c>
      <c r="J55" s="184">
        <f>D53-H53</f>
        <v>12636177.490000024</v>
      </c>
      <c r="K55" s="250" t="s">
        <v>346</v>
      </c>
      <c r="L55" s="248"/>
    </row>
    <row r="56" spans="1:34">
      <c r="D56" s="205"/>
      <c r="I56" s="91" t="s">
        <v>347</v>
      </c>
      <c r="J56" s="253">
        <f>Exec_Orç!K19-J57</f>
        <v>6622066.1500000004</v>
      </c>
      <c r="K56" s="91" t="s">
        <v>348</v>
      </c>
      <c r="L56" s="253">
        <f>Exec_Orç!L19</f>
        <v>20150303.789999995</v>
      </c>
      <c r="P56" s="107" t="s">
        <v>325</v>
      </c>
      <c r="Q56" s="183" t="s">
        <v>326</v>
      </c>
      <c r="R56" s="237"/>
      <c r="S56" s="246">
        <f>SUM(S57:S59)</f>
        <v>9502229.8300000001</v>
      </c>
      <c r="T56" s="45">
        <f>SUM(T57:T59)</f>
        <v>9863334.6199999992</v>
      </c>
      <c r="U56" s="45">
        <f>SUM(U57:U59)</f>
        <v>11673365.35</v>
      </c>
      <c r="V56" s="45">
        <f t="shared" ref="V56:AD56" si="31">SUM(V57:V59)</f>
        <v>9767509.6400000006</v>
      </c>
      <c r="W56" s="45">
        <f>SUM(W57:W59)</f>
        <v>11080309.600000001</v>
      </c>
      <c r="X56" s="45">
        <f t="shared" si="31"/>
        <v>10433551.120000001</v>
      </c>
      <c r="Y56" s="45">
        <f t="shared" si="31"/>
        <v>11130934.780000001</v>
      </c>
      <c r="Z56" s="45">
        <f>SUM(Z57:Z59)</f>
        <v>10654501</v>
      </c>
      <c r="AA56" s="45">
        <f t="shared" si="31"/>
        <v>10794825.710000001</v>
      </c>
      <c r="AB56" s="45">
        <f>SUM(AB57:AB59)</f>
        <v>11334410.140000001</v>
      </c>
      <c r="AC56" s="45">
        <f t="shared" si="31"/>
        <v>0</v>
      </c>
      <c r="AD56" s="45">
        <f t="shared" si="31"/>
        <v>0</v>
      </c>
      <c r="AE56" s="45">
        <f>SUM(AE57:AE59)</f>
        <v>106234971.78999999</v>
      </c>
      <c r="AF56" s="224">
        <f>AE56/$AE$64</f>
        <v>0.98983886902829932</v>
      </c>
      <c r="AH56" s="61"/>
    </row>
    <row r="57" spans="1:34">
      <c r="D57" s="205"/>
      <c r="I57" s="91" t="s">
        <v>349</v>
      </c>
      <c r="J57" s="205">
        <f>-Exec_Orç!H26</f>
        <v>1129516.1800000006</v>
      </c>
      <c r="K57" s="91" t="s">
        <v>961</v>
      </c>
      <c r="L57" s="205">
        <f>Exec_Orç!J19</f>
        <v>11405.92</v>
      </c>
      <c r="N57" s="205"/>
      <c r="P57" s="107" t="s">
        <v>327</v>
      </c>
      <c r="Q57" s="247" t="s">
        <v>328</v>
      </c>
      <c r="R57" s="248"/>
      <c r="S57" s="246">
        <v>7483372.4199999999</v>
      </c>
      <c r="T57" s="246">
        <v>7755753.3899999997</v>
      </c>
      <c r="U57" s="45">
        <f>7806919.68</f>
        <v>7806919.6799999997</v>
      </c>
      <c r="V57" s="45">
        <f>7464214.06</f>
        <v>7464214.0599999996</v>
      </c>
      <c r="W57" s="45">
        <f>7290775.62</f>
        <v>7290775.6200000001</v>
      </c>
      <c r="X57" s="45">
        <v>7411621.8399999999</v>
      </c>
      <c r="Y57" s="45">
        <f>7526337.83</f>
        <v>7526337.8300000001</v>
      </c>
      <c r="Z57" s="45">
        <f>7386420.06</f>
        <v>7386420.0599999996</v>
      </c>
      <c r="AA57" s="45">
        <v>7328481.8399999999</v>
      </c>
      <c r="AB57" s="45">
        <v>7456595.0999999996</v>
      </c>
      <c r="AC57" s="45"/>
      <c r="AD57" s="45"/>
      <c r="AE57" s="45">
        <f>SUM(S57:AD57)</f>
        <v>74910491.839999989</v>
      </c>
      <c r="AF57" s="224">
        <f>AE57/$AE$64</f>
        <v>0.69797464311313528</v>
      </c>
      <c r="AH57" s="61"/>
    </row>
    <row r="58" spans="1:34">
      <c r="B58" s="61"/>
      <c r="D58" s="61"/>
      <c r="H58" s="61"/>
      <c r="I58" s="127" t="s">
        <v>350</v>
      </c>
      <c r="J58" s="419">
        <f>SUM(J56:J57)</f>
        <v>7751582.330000001</v>
      </c>
      <c r="L58" s="418">
        <f>L56+L57</f>
        <v>20161709.709999997</v>
      </c>
      <c r="M58" s="269" t="s">
        <v>853</v>
      </c>
      <c r="N58" s="252"/>
      <c r="P58" s="107" t="s">
        <v>329</v>
      </c>
      <c r="Q58" s="244" t="s">
        <v>330</v>
      </c>
      <c r="R58" s="245"/>
      <c r="S58" s="246">
        <v>5579.12</v>
      </c>
      <c r="T58" s="246"/>
      <c r="U58" s="45"/>
      <c r="V58" s="45">
        <f>11158.24</f>
        <v>11158.24</v>
      </c>
      <c r="W58" s="45">
        <f>11158.24</f>
        <v>11158.24</v>
      </c>
      <c r="X58" s="45">
        <v>5579.12</v>
      </c>
      <c r="Y58" s="45">
        <f>5579.12</f>
        <v>5579.12</v>
      </c>
      <c r="Z58" s="45">
        <f>5579.12</f>
        <v>5579.12</v>
      </c>
      <c r="AA58" s="45"/>
      <c r="AB58" s="45">
        <v>11158.24</v>
      </c>
      <c r="AC58" s="45"/>
      <c r="AD58" s="45"/>
      <c r="AE58" s="45">
        <f>SUM(S58:AD58)</f>
        <v>55791.200000000004</v>
      </c>
      <c r="AF58" s="224">
        <f t="shared" ref="AF58:AF63" si="32">AE58/$AE$64</f>
        <v>5.1983162775151202E-4</v>
      </c>
      <c r="AH58" s="61"/>
    </row>
    <row r="59" spans="1:34">
      <c r="B59" s="61"/>
      <c r="D59" s="61"/>
      <c r="F59" s="254"/>
      <c r="G59" s="254"/>
      <c r="H59" s="255"/>
      <c r="I59" s="254"/>
      <c r="J59" s="417"/>
      <c r="L59" s="60"/>
      <c r="N59" s="60"/>
      <c r="P59" s="107" t="s">
        <v>331</v>
      </c>
      <c r="Q59" s="247" t="s">
        <v>332</v>
      </c>
      <c r="R59" s="248"/>
      <c r="S59" s="246">
        <v>2013278.29</v>
      </c>
      <c r="T59" s="246">
        <v>2107581.23</v>
      </c>
      <c r="U59" s="45">
        <f>3866445.67</f>
        <v>3866445.67</v>
      </c>
      <c r="V59" s="45">
        <f>2292137.34</f>
        <v>2292137.34</v>
      </c>
      <c r="W59" s="45">
        <f>3778375.74</f>
        <v>3778375.74</v>
      </c>
      <c r="X59" s="45">
        <v>3016350.16</v>
      </c>
      <c r="Y59" s="45">
        <f>3599017.83</f>
        <v>3599017.83</v>
      </c>
      <c r="Z59" s="45">
        <f>3262501.82</f>
        <v>3262501.82</v>
      </c>
      <c r="AA59" s="45">
        <v>3466343.87</v>
      </c>
      <c r="AB59" s="45">
        <v>3866656.8</v>
      </c>
      <c r="AC59" s="45"/>
      <c r="AD59" s="45"/>
      <c r="AE59" s="45">
        <f>SUM(S59:AD59)</f>
        <v>31268688.75</v>
      </c>
      <c r="AF59" s="224">
        <f t="shared" si="32"/>
        <v>0.29134439428741254</v>
      </c>
      <c r="AH59" s="61"/>
    </row>
    <row r="60" spans="1:34">
      <c r="B60" s="61"/>
      <c r="D60" s="61"/>
      <c r="H60" s="61"/>
      <c r="J60" s="124"/>
      <c r="P60" s="107" t="s">
        <v>333</v>
      </c>
      <c r="Q60" s="244" t="s">
        <v>334</v>
      </c>
      <c r="R60" s="245"/>
      <c r="S60" s="246">
        <f>SUM(S61:S63)</f>
        <v>0</v>
      </c>
      <c r="T60" s="246">
        <f t="shared" ref="T60:AD60" si="33">SUM(T61:T63)</f>
        <v>6700.86</v>
      </c>
      <c r="U60" s="246">
        <f t="shared" si="33"/>
        <v>24413.42</v>
      </c>
      <c r="V60" s="246">
        <f t="shared" si="33"/>
        <v>27839.4</v>
      </c>
      <c r="W60" s="246">
        <f t="shared" si="33"/>
        <v>64019.8</v>
      </c>
      <c r="X60" s="246">
        <f t="shared" si="33"/>
        <v>78470.149999999994</v>
      </c>
      <c r="Y60" s="246">
        <f t="shared" si="33"/>
        <v>150162.57999999999</v>
      </c>
      <c r="Z60" s="246">
        <f t="shared" si="33"/>
        <v>588170.81999999995</v>
      </c>
      <c r="AA60" s="246">
        <f t="shared" si="33"/>
        <v>143784.64000000001</v>
      </c>
      <c r="AB60" s="246">
        <f t="shared" si="33"/>
        <v>6987</v>
      </c>
      <c r="AC60" s="246">
        <f t="shared" si="33"/>
        <v>0</v>
      </c>
      <c r="AD60" s="246">
        <f t="shared" si="33"/>
        <v>0</v>
      </c>
      <c r="AE60" s="246">
        <f>SUM(AE61:AE63)</f>
        <v>1090548.67</v>
      </c>
      <c r="AF60" s="224">
        <f t="shared" si="32"/>
        <v>1.016113097170067E-2</v>
      </c>
      <c r="AH60" s="61"/>
    </row>
    <row r="61" spans="1:34">
      <c r="B61" s="205"/>
      <c r="D61" s="205"/>
      <c r="J61" s="61"/>
      <c r="P61" s="107" t="s">
        <v>335</v>
      </c>
      <c r="Q61" s="247" t="s">
        <v>336</v>
      </c>
      <c r="R61" s="248"/>
      <c r="S61" s="246"/>
      <c r="T61" s="246">
        <v>6700.86</v>
      </c>
      <c r="U61" s="45">
        <f>24413.42</f>
        <v>24413.42</v>
      </c>
      <c r="V61" s="45">
        <f>27839.4</f>
        <v>27839.4</v>
      </c>
      <c r="W61" s="45">
        <f>64019.8</f>
        <v>64019.8</v>
      </c>
      <c r="X61" s="45">
        <v>78470.149999999994</v>
      </c>
      <c r="Y61" s="45">
        <f>150162.58</f>
        <v>150162.57999999999</v>
      </c>
      <c r="Z61" s="45">
        <f>588170.82</f>
        <v>588170.81999999995</v>
      </c>
      <c r="AA61" s="45">
        <f>143784.64</f>
        <v>143784.64000000001</v>
      </c>
      <c r="AB61" s="45">
        <v>6987</v>
      </c>
      <c r="AC61" s="45"/>
      <c r="AD61" s="45"/>
      <c r="AE61" s="45">
        <f>SUM(S61:AD61)</f>
        <v>1090548.67</v>
      </c>
      <c r="AF61" s="224">
        <f t="shared" si="32"/>
        <v>1.016113097170067E-2</v>
      </c>
      <c r="AH61" s="61"/>
    </row>
    <row r="62" spans="1:34">
      <c r="L62" s="124"/>
      <c r="P62" s="107" t="s">
        <v>337</v>
      </c>
      <c r="Q62" s="247" t="s">
        <v>338</v>
      </c>
      <c r="R62" s="248"/>
      <c r="S62" s="246"/>
      <c r="T62" s="246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>
        <f>SUM(S62:AD62)</f>
        <v>0</v>
      </c>
      <c r="AF62" s="224">
        <f t="shared" si="32"/>
        <v>0</v>
      </c>
      <c r="AH62" s="61"/>
    </row>
    <row r="63" spans="1:34">
      <c r="B63" s="361" t="s">
        <v>103</v>
      </c>
      <c r="C63" s="362"/>
      <c r="D63" s="362"/>
      <c r="E63" s="363" t="s">
        <v>104</v>
      </c>
      <c r="F63" s="363"/>
      <c r="H63" s="361"/>
      <c r="I63" s="364" t="s">
        <v>105</v>
      </c>
      <c r="L63" s="60"/>
      <c r="P63" s="249" t="s">
        <v>339</v>
      </c>
      <c r="Q63" s="244" t="s">
        <v>340</v>
      </c>
      <c r="R63" s="245"/>
      <c r="S63" s="246"/>
      <c r="T63" s="246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>
        <f>SUM(S63:AD63)</f>
        <v>0</v>
      </c>
      <c r="AF63" s="224">
        <f t="shared" si="32"/>
        <v>0</v>
      </c>
      <c r="AH63" s="61"/>
    </row>
    <row r="64" spans="1:34">
      <c r="A64" s="365"/>
      <c r="B64" s="361" t="s">
        <v>106</v>
      </c>
      <c r="C64" s="362"/>
      <c r="D64" s="362"/>
      <c r="E64" s="363" t="s">
        <v>107</v>
      </c>
      <c r="F64" s="363"/>
      <c r="H64" s="361"/>
      <c r="I64" s="364" t="s">
        <v>108</v>
      </c>
      <c r="J64" s="365"/>
      <c r="K64" s="365"/>
      <c r="L64" s="124"/>
      <c r="P64" s="250" t="s">
        <v>351</v>
      </c>
      <c r="Q64" s="251"/>
      <c r="R64" s="231"/>
      <c r="S64" s="246">
        <f>S56+S60</f>
        <v>9502229.8300000001</v>
      </c>
      <c r="T64" s="246">
        <f t="shared" ref="T64:AD64" si="34">T56+T60</f>
        <v>9870035.4799999986</v>
      </c>
      <c r="U64" s="246">
        <f>U56+U60</f>
        <v>11697778.77</v>
      </c>
      <c r="V64" s="246">
        <f t="shared" si="34"/>
        <v>9795349.040000001</v>
      </c>
      <c r="W64" s="246">
        <f t="shared" si="34"/>
        <v>11144329.400000002</v>
      </c>
      <c r="X64" s="246">
        <f t="shared" si="34"/>
        <v>10512021.270000001</v>
      </c>
      <c r="Y64" s="246">
        <f t="shared" si="34"/>
        <v>11281097.360000001</v>
      </c>
      <c r="Z64" s="246">
        <f>Z56+Z60</f>
        <v>11242671.82</v>
      </c>
      <c r="AA64" s="246">
        <f t="shared" si="34"/>
        <v>10938610.350000001</v>
      </c>
      <c r="AB64" s="246">
        <f t="shared" si="34"/>
        <v>11341397.140000001</v>
      </c>
      <c r="AC64" s="246">
        <f t="shared" si="34"/>
        <v>0</v>
      </c>
      <c r="AD64" s="246">
        <f t="shared" si="34"/>
        <v>0</v>
      </c>
      <c r="AE64" s="246">
        <f>AE56+AE60</f>
        <v>107325520.45999999</v>
      </c>
      <c r="AF64" s="224">
        <f>AF56+AF60</f>
        <v>1</v>
      </c>
      <c r="AH64" s="61"/>
    </row>
    <row r="65" spans="1:33">
      <c r="A65" s="366"/>
      <c r="B65" s="367"/>
      <c r="C65" s="367"/>
      <c r="D65" s="367"/>
      <c r="E65" s="367"/>
      <c r="F65" s="367"/>
      <c r="G65" s="367"/>
      <c r="H65" s="367"/>
      <c r="I65" s="367"/>
      <c r="J65" s="367"/>
      <c r="K65" s="367"/>
      <c r="L65" s="60"/>
      <c r="S65" s="205">
        <f>H41-S64</f>
        <v>0</v>
      </c>
      <c r="T65" s="205">
        <f>H42-T64</f>
        <v>0</v>
      </c>
      <c r="U65" s="205">
        <f>H43-U64</f>
        <v>0</v>
      </c>
      <c r="V65" s="205">
        <f>H44-V64</f>
        <v>0</v>
      </c>
      <c r="W65" s="205">
        <f>H45-W64</f>
        <v>0</v>
      </c>
      <c r="X65" s="205">
        <f>H46-X64</f>
        <v>0</v>
      </c>
      <c r="Y65" s="205">
        <f>H47-Y64</f>
        <v>0</v>
      </c>
      <c r="Z65" s="205">
        <f>H48-Z64</f>
        <v>0</v>
      </c>
      <c r="AA65" s="205">
        <f>H49-AA64</f>
        <v>0</v>
      </c>
      <c r="AB65" s="205">
        <f>H50-AB64</f>
        <v>0</v>
      </c>
      <c r="AC65" s="205">
        <f>H51-AC64</f>
        <v>0</v>
      </c>
      <c r="AD65" s="205">
        <f>H52-AD64</f>
        <v>0</v>
      </c>
      <c r="AE65" s="205">
        <f>AE64-H53</f>
        <v>0</v>
      </c>
    </row>
    <row r="66" spans="1:33">
      <c r="A66" s="366"/>
      <c r="B66" s="367"/>
      <c r="C66" s="367"/>
      <c r="D66" s="367"/>
      <c r="E66" s="367"/>
      <c r="F66" s="367"/>
      <c r="G66" s="367"/>
      <c r="H66" s="367"/>
      <c r="I66" s="367"/>
      <c r="J66" s="367"/>
      <c r="K66" s="367"/>
      <c r="L66" s="60"/>
      <c r="R66" s="361" t="s">
        <v>103</v>
      </c>
      <c r="S66" s="362"/>
      <c r="T66" s="362"/>
      <c r="U66" s="363" t="s">
        <v>104</v>
      </c>
      <c r="V66" s="363"/>
      <c r="X66" s="361"/>
      <c r="Y66" s="364" t="s">
        <v>105</v>
      </c>
      <c r="Z66" s="365"/>
      <c r="AA66" s="368"/>
      <c r="AB66" s="365"/>
      <c r="AD66" s="89" t="s">
        <v>352</v>
      </c>
      <c r="AE66" s="205">
        <f>111781244.48-AE64</f>
        <v>4455724.0200000107</v>
      </c>
    </row>
    <row r="67" spans="1:33">
      <c r="A67" s="366"/>
      <c r="E67" s="205"/>
      <c r="Z67" s="367"/>
      <c r="AA67" s="367"/>
      <c r="AB67" s="367"/>
      <c r="AD67" s="91" t="s">
        <v>353</v>
      </c>
      <c r="AE67" s="256">
        <f>AE66+AE64</f>
        <v>111781244.48</v>
      </c>
    </row>
    <row r="68" spans="1:33">
      <c r="A68" s="366"/>
      <c r="E68" s="61"/>
      <c r="R68" s="361"/>
      <c r="S68" s="362"/>
      <c r="T68" s="369"/>
      <c r="U68" s="363"/>
      <c r="V68" s="363"/>
      <c r="X68" s="361"/>
      <c r="Y68" s="364"/>
      <c r="Z68" s="367"/>
      <c r="AA68" s="367"/>
      <c r="AB68" s="367"/>
      <c r="AE68" s="205"/>
      <c r="AG68" s="124"/>
    </row>
    <row r="69" spans="1:33">
      <c r="S69" s="216"/>
      <c r="U69" s="94"/>
      <c r="V69" s="94"/>
      <c r="W69" s="94"/>
      <c r="X69" s="95" t="s">
        <v>852</v>
      </c>
      <c r="Y69" s="216"/>
      <c r="Z69" s="216"/>
      <c r="AA69" s="94"/>
      <c r="AB69" s="216"/>
      <c r="AC69" s="216"/>
      <c r="AD69" s="216"/>
      <c r="AE69" s="94"/>
    </row>
    <row r="70" spans="1:33">
      <c r="R70" s="91" t="s">
        <v>850</v>
      </c>
      <c r="S70" s="100" t="s">
        <v>124</v>
      </c>
      <c r="T70" s="100" t="s">
        <v>125</v>
      </c>
      <c r="U70" s="100" t="s">
        <v>126</v>
      </c>
      <c r="V70" s="100" t="s">
        <v>127</v>
      </c>
      <c r="W70" s="100" t="s">
        <v>292</v>
      </c>
      <c r="X70" s="100" t="s">
        <v>293</v>
      </c>
      <c r="Y70" s="100" t="s">
        <v>294</v>
      </c>
      <c r="Z70" s="100" t="s">
        <v>295</v>
      </c>
      <c r="AA70" s="100" t="s">
        <v>296</v>
      </c>
      <c r="AB70" s="100" t="s">
        <v>298</v>
      </c>
      <c r="AC70" s="100" t="s">
        <v>299</v>
      </c>
      <c r="AD70" s="100" t="s">
        <v>300</v>
      </c>
      <c r="AE70" s="102" t="s">
        <v>10</v>
      </c>
    </row>
    <row r="71" spans="1:33">
      <c r="C71" s="112" t="s">
        <v>354</v>
      </c>
      <c r="R71" s="91" t="s">
        <v>854</v>
      </c>
      <c r="S71" s="184">
        <f>S56</f>
        <v>9502229.8300000001</v>
      </c>
      <c r="T71" s="184">
        <f t="shared" ref="T71:AD71" si="35">T56</f>
        <v>9863334.6199999992</v>
      </c>
      <c r="U71" s="184">
        <f t="shared" si="35"/>
        <v>11673365.35</v>
      </c>
      <c r="V71" s="184">
        <f t="shared" si="35"/>
        <v>9767509.6400000006</v>
      </c>
      <c r="W71" s="184">
        <f t="shared" si="35"/>
        <v>11080309.600000001</v>
      </c>
      <c r="X71" s="184">
        <f t="shared" si="35"/>
        <v>10433551.120000001</v>
      </c>
      <c r="Y71" s="184">
        <f t="shared" si="35"/>
        <v>11130934.780000001</v>
      </c>
      <c r="Z71" s="184">
        <f t="shared" si="35"/>
        <v>10654501</v>
      </c>
      <c r="AA71" s="184">
        <f t="shared" si="35"/>
        <v>10794825.710000001</v>
      </c>
      <c r="AB71" s="184">
        <f t="shared" si="35"/>
        <v>11334410.140000001</v>
      </c>
      <c r="AC71" s="184">
        <f t="shared" si="35"/>
        <v>0</v>
      </c>
      <c r="AD71" s="184">
        <f t="shared" si="35"/>
        <v>0</v>
      </c>
      <c r="AE71" s="184">
        <f>SUM(S71:AD71)</f>
        <v>106234971.79000001</v>
      </c>
    </row>
    <row r="72" spans="1:33">
      <c r="A72" s="127" t="s">
        <v>355</v>
      </c>
      <c r="B72" s="257" t="s">
        <v>356</v>
      </c>
      <c r="C72" s="127" t="s">
        <v>357</v>
      </c>
      <c r="D72" s="127" t="s">
        <v>125</v>
      </c>
      <c r="E72" s="257" t="s">
        <v>126</v>
      </c>
      <c r="F72" s="257" t="s">
        <v>127</v>
      </c>
      <c r="G72" s="248"/>
      <c r="H72" s="377" t="s">
        <v>292</v>
      </c>
      <c r="I72" s="378"/>
      <c r="J72" s="213" t="s">
        <v>293</v>
      </c>
      <c r="K72" s="127" t="s">
        <v>294</v>
      </c>
      <c r="L72" s="213" t="s">
        <v>295</v>
      </c>
      <c r="M72" s="258" t="s">
        <v>296</v>
      </c>
      <c r="N72" s="127" t="s">
        <v>298</v>
      </c>
      <c r="O72" s="213" t="s">
        <v>299</v>
      </c>
      <c r="R72" s="91" t="s">
        <v>851</v>
      </c>
      <c r="S72" s="414">
        <f>RCL!K5</f>
        <v>9014518.75</v>
      </c>
      <c r="T72" s="414">
        <f>RCL!J5</f>
        <v>9629502.4100000001</v>
      </c>
      <c r="U72" s="414">
        <f>RCL!I5</f>
        <v>9932379.9400000013</v>
      </c>
      <c r="V72" s="414">
        <f>RCL!H5</f>
        <v>8870336.4799999986</v>
      </c>
      <c r="W72" s="415">
        <f>RCL!G5</f>
        <v>12193906.34</v>
      </c>
      <c r="X72" s="415">
        <f>RCL!F5</f>
        <v>9409782.5599999987</v>
      </c>
      <c r="Y72" s="415">
        <f>RCL!E5</f>
        <v>8599619.8900000006</v>
      </c>
      <c r="Z72" s="415">
        <f>RCL!D5</f>
        <v>11215124.91</v>
      </c>
      <c r="AA72" s="415">
        <f>RCL!E5</f>
        <v>8599619.8900000006</v>
      </c>
      <c r="AB72" s="415">
        <f>RCL!D5</f>
        <v>11215124.91</v>
      </c>
      <c r="AC72" s="415">
        <v>0</v>
      </c>
      <c r="AD72" s="415">
        <v>0</v>
      </c>
      <c r="AE72" s="184">
        <f>SUM(S72:AD72)</f>
        <v>98679916.079999998</v>
      </c>
    </row>
    <row r="73" spans="1:33">
      <c r="A73" s="259">
        <v>4383.53</v>
      </c>
      <c r="B73" s="259">
        <v>4383.53</v>
      </c>
      <c r="C73" s="92">
        <v>2004</v>
      </c>
      <c r="D73" s="60">
        <v>4383.53</v>
      </c>
      <c r="E73" s="259">
        <v>4383.53</v>
      </c>
      <c r="F73" s="259">
        <v>4383.53</v>
      </c>
      <c r="G73" s="254"/>
      <c r="H73" s="381">
        <v>4383.53</v>
      </c>
      <c r="I73" s="378"/>
      <c r="J73" s="387">
        <v>4383.53</v>
      </c>
      <c r="K73" s="262">
        <v>4383.53</v>
      </c>
      <c r="L73" s="387">
        <v>57.84</v>
      </c>
      <c r="M73" s="261">
        <v>4383.53</v>
      </c>
      <c r="N73" s="60">
        <v>4383.53</v>
      </c>
      <c r="O73" s="262"/>
      <c r="R73" s="91" t="s">
        <v>358</v>
      </c>
      <c r="S73" s="224">
        <f>S71/S72</f>
        <v>1.0541028415965079</v>
      </c>
      <c r="T73" s="224">
        <f t="shared" ref="T73:AD73" si="36">T71/T72</f>
        <v>1.024282896461729</v>
      </c>
      <c r="U73" s="224">
        <f t="shared" si="36"/>
        <v>1.1752838111829216</v>
      </c>
      <c r="V73" s="224">
        <f t="shared" si="36"/>
        <v>1.1011430808766798</v>
      </c>
      <c r="W73" s="224">
        <f t="shared" si="36"/>
        <v>0.90867596412914564</v>
      </c>
      <c r="X73" s="224">
        <f t="shared" si="36"/>
        <v>1.108798322753167</v>
      </c>
      <c r="Y73" s="224">
        <f t="shared" si="36"/>
        <v>1.2943519507116261</v>
      </c>
      <c r="Z73" s="224">
        <f t="shared" si="36"/>
        <v>0.95001179973482786</v>
      </c>
      <c r="AA73" s="224">
        <f t="shared" si="36"/>
        <v>1.2552677732364286</v>
      </c>
      <c r="AB73" s="224">
        <f t="shared" si="36"/>
        <v>1.0106361035616855</v>
      </c>
      <c r="AC73" s="224" t="e">
        <f t="shared" si="36"/>
        <v>#DIV/0!</v>
      </c>
      <c r="AD73" s="224" t="e">
        <f t="shared" si="36"/>
        <v>#DIV/0!</v>
      </c>
      <c r="AE73" s="224">
        <f>AE71/AE72</f>
        <v>1.0765612295806486</v>
      </c>
      <c r="AF73" s="124"/>
    </row>
    <row r="74" spans="1:33">
      <c r="A74" s="263">
        <v>57.84</v>
      </c>
      <c r="B74" s="263">
        <v>57.84</v>
      </c>
      <c r="C74" s="92">
        <v>2005</v>
      </c>
      <c r="D74" s="59">
        <v>57.84</v>
      </c>
      <c r="E74" s="263">
        <v>57.84</v>
      </c>
      <c r="F74" s="263">
        <v>57.84</v>
      </c>
      <c r="G74" s="254"/>
      <c r="H74" s="263">
        <v>57.84</v>
      </c>
      <c r="I74" s="245"/>
      <c r="J74" s="254">
        <v>57.84</v>
      </c>
      <c r="K74" s="264">
        <v>57.84</v>
      </c>
      <c r="L74" s="387">
        <v>1022.7</v>
      </c>
      <c r="M74" s="265">
        <v>57.84</v>
      </c>
      <c r="N74" s="59">
        <v>57.84</v>
      </c>
      <c r="O74" s="264"/>
    </row>
    <row r="75" spans="1:33">
      <c r="A75" s="259">
        <v>1022.7</v>
      </c>
      <c r="B75" s="259">
        <v>1022.7</v>
      </c>
      <c r="C75" s="92">
        <v>2006</v>
      </c>
      <c r="D75" s="60">
        <v>1022.7</v>
      </c>
      <c r="E75" s="259">
        <v>1022.7</v>
      </c>
      <c r="F75" s="259">
        <v>1022.7</v>
      </c>
      <c r="G75" s="254"/>
      <c r="H75" s="259">
        <v>1022.7</v>
      </c>
      <c r="I75" s="245"/>
      <c r="J75" s="387">
        <v>1022.7</v>
      </c>
      <c r="K75" s="260">
        <v>1022.7</v>
      </c>
      <c r="L75" s="387">
        <v>776.55</v>
      </c>
      <c r="M75" s="265">
        <v>1022.7</v>
      </c>
      <c r="N75" s="60">
        <v>376.17</v>
      </c>
      <c r="O75" s="260"/>
      <c r="T75" s="112" t="s">
        <v>359</v>
      </c>
    </row>
    <row r="76" spans="1:33">
      <c r="A76" s="259">
        <v>776.55</v>
      </c>
      <c r="B76" s="259">
        <v>776.55</v>
      </c>
      <c r="C76" s="92">
        <v>2007</v>
      </c>
      <c r="D76" s="60">
        <v>776.55</v>
      </c>
      <c r="E76" s="259">
        <v>776.55</v>
      </c>
      <c r="F76" s="259">
        <v>776.55</v>
      </c>
      <c r="G76" s="254"/>
      <c r="H76" s="259">
        <v>776.55</v>
      </c>
      <c r="I76" s="245"/>
      <c r="J76" s="387">
        <v>776.55</v>
      </c>
      <c r="K76" s="260">
        <v>776.55</v>
      </c>
      <c r="L76" s="387">
        <v>2046.08</v>
      </c>
      <c r="M76" s="265">
        <v>776.55</v>
      </c>
      <c r="N76" s="60">
        <v>776.55</v>
      </c>
      <c r="O76" s="260"/>
    </row>
    <row r="77" spans="1:33">
      <c r="A77" s="259">
        <v>2046.08</v>
      </c>
      <c r="B77" s="259">
        <v>2046.08</v>
      </c>
      <c r="C77" s="92">
        <v>2008</v>
      </c>
      <c r="D77" s="60">
        <v>2046.08</v>
      </c>
      <c r="E77" s="259">
        <v>2046.08</v>
      </c>
      <c r="F77" s="259">
        <v>2046.08</v>
      </c>
      <c r="G77" s="254"/>
      <c r="H77" s="259">
        <v>2046.08</v>
      </c>
      <c r="I77" s="245"/>
      <c r="J77" s="387">
        <v>2046.08</v>
      </c>
      <c r="K77" s="260">
        <v>2046.08</v>
      </c>
      <c r="L77" s="387">
        <v>2230.9</v>
      </c>
      <c r="M77" s="265">
        <v>2046.08</v>
      </c>
      <c r="N77" s="60">
        <v>1737.19</v>
      </c>
      <c r="O77" s="260"/>
      <c r="T77" s="112" t="s">
        <v>360</v>
      </c>
    </row>
    <row r="78" spans="1:33">
      <c r="A78" s="259">
        <v>2230.9</v>
      </c>
      <c r="B78" s="259">
        <v>2230.9</v>
      </c>
      <c r="C78" s="92">
        <v>2009</v>
      </c>
      <c r="D78" s="60">
        <v>2230.9</v>
      </c>
      <c r="E78" s="259">
        <v>2230.9</v>
      </c>
      <c r="F78" s="259">
        <v>2230.9</v>
      </c>
      <c r="G78" s="254"/>
      <c r="H78" s="259">
        <v>2230.9</v>
      </c>
      <c r="I78" s="245"/>
      <c r="J78" s="387">
        <v>2230.9</v>
      </c>
      <c r="K78" s="260">
        <v>2230.9</v>
      </c>
      <c r="L78" s="387">
        <v>7980.88</v>
      </c>
      <c r="M78" s="265">
        <v>2230.9</v>
      </c>
      <c r="N78" s="60">
        <v>1779.08</v>
      </c>
      <c r="O78" s="260"/>
      <c r="Q78" s="100" t="s">
        <v>136</v>
      </c>
      <c r="R78" s="100" t="s">
        <v>361</v>
      </c>
      <c r="S78" s="100" t="str">
        <f t="shared" ref="S78:AE78" si="37">S3</f>
        <v>JANEIRO</v>
      </c>
      <c r="T78" s="100" t="str">
        <f t="shared" si="37"/>
        <v>FEVEREIRO</v>
      </c>
      <c r="U78" s="100" t="str">
        <f t="shared" si="37"/>
        <v>MARÇO</v>
      </c>
      <c r="V78" s="100" t="str">
        <f t="shared" si="37"/>
        <v>ABRIL</v>
      </c>
      <c r="W78" s="100" t="str">
        <f t="shared" si="37"/>
        <v>MAIO</v>
      </c>
      <c r="X78" s="100" t="str">
        <f t="shared" si="37"/>
        <v>JUNHO</v>
      </c>
      <c r="Y78" s="100" t="str">
        <f t="shared" si="37"/>
        <v>JULHO</v>
      </c>
      <c r="Z78" s="100" t="str">
        <f t="shared" si="37"/>
        <v>AGOSTO</v>
      </c>
      <c r="AA78" s="100" t="str">
        <f t="shared" si="37"/>
        <v>SETEMBRO</v>
      </c>
      <c r="AB78" s="100" t="str">
        <f t="shared" si="37"/>
        <v>OUTUBRO</v>
      </c>
      <c r="AC78" s="100" t="str">
        <f t="shared" si="37"/>
        <v>NOVEMBRO</v>
      </c>
      <c r="AD78" s="100" t="str">
        <f t="shared" si="37"/>
        <v>DEZEMBRO</v>
      </c>
      <c r="AE78" s="100" t="str">
        <f t="shared" si="37"/>
        <v>TOTAL</v>
      </c>
    </row>
    <row r="79" spans="1:33">
      <c r="A79" s="259">
        <v>7980.88</v>
      </c>
      <c r="B79" s="259">
        <v>7980.88</v>
      </c>
      <c r="C79" s="92">
        <v>2010</v>
      </c>
      <c r="D79" s="60">
        <v>7980.88</v>
      </c>
      <c r="E79" s="259">
        <v>7980.88</v>
      </c>
      <c r="F79" s="259">
        <v>7980.88</v>
      </c>
      <c r="G79" s="254"/>
      <c r="H79" s="259">
        <v>7980.88</v>
      </c>
      <c r="I79" s="245"/>
      <c r="J79" s="387">
        <v>7980.88</v>
      </c>
      <c r="K79" s="260">
        <v>7980.88</v>
      </c>
      <c r="L79" s="387">
        <v>172953.87</v>
      </c>
      <c r="M79" s="265">
        <v>7980.88</v>
      </c>
      <c r="N79" s="60">
        <v>6480.66</v>
      </c>
      <c r="O79" s="260"/>
      <c r="Q79" s="213" t="s">
        <v>362</v>
      </c>
      <c r="R79" s="100" t="s">
        <v>289</v>
      </c>
      <c r="S79" s="102">
        <f t="shared" ref="S79:AE79" si="38">S20</f>
        <v>11656177.993336219</v>
      </c>
      <c r="T79" s="102">
        <f t="shared" si="38"/>
        <v>11901795.705152275</v>
      </c>
      <c r="U79" s="102">
        <f t="shared" si="38"/>
        <v>11153322.249607213</v>
      </c>
      <c r="V79" s="102">
        <f t="shared" si="38"/>
        <v>11555276.071185496</v>
      </c>
      <c r="W79" s="102">
        <f t="shared" si="38"/>
        <v>11434839.319188649</v>
      </c>
      <c r="X79" s="102">
        <f t="shared" si="38"/>
        <v>10425399.837078189</v>
      </c>
      <c r="Y79" s="102">
        <f t="shared" si="38"/>
        <v>12139133.799852779</v>
      </c>
      <c r="Z79" s="102">
        <f t="shared" si="38"/>
        <v>10647379.455613729</v>
      </c>
      <c r="AA79" s="102">
        <f t="shared" si="38"/>
        <v>10539082.714075398</v>
      </c>
      <c r="AB79" s="102">
        <f t="shared" si="38"/>
        <v>11412777.845785208</v>
      </c>
      <c r="AC79" s="102">
        <f t="shared" si="38"/>
        <v>10676818.409967704</v>
      </c>
      <c r="AD79" s="102">
        <f t="shared" si="38"/>
        <v>16835806.869157109</v>
      </c>
      <c r="AE79" s="102">
        <f t="shared" si="38"/>
        <v>140377810.26999998</v>
      </c>
      <c r="AG79" s="61"/>
    </row>
    <row r="80" spans="1:33">
      <c r="A80" s="259">
        <v>172953.87</v>
      </c>
      <c r="B80" s="259">
        <v>172953.87</v>
      </c>
      <c r="C80" s="92">
        <v>2011</v>
      </c>
      <c r="D80" s="60">
        <v>172953.87</v>
      </c>
      <c r="E80" s="259">
        <v>172953.87</v>
      </c>
      <c r="F80" s="259">
        <v>172953.87</v>
      </c>
      <c r="G80" s="254"/>
      <c r="H80" s="259">
        <v>172953.87</v>
      </c>
      <c r="I80" s="245"/>
      <c r="J80" s="387">
        <v>172953.87</v>
      </c>
      <c r="K80" s="260">
        <v>172953.87</v>
      </c>
      <c r="L80" s="387">
        <v>1907832.24</v>
      </c>
      <c r="M80" s="265">
        <v>172953.87</v>
      </c>
      <c r="N80" s="60">
        <v>169801.14</v>
      </c>
      <c r="O80" s="260"/>
    </row>
    <row r="81" spans="1:32">
      <c r="A81" s="259">
        <v>2016261.2</v>
      </c>
      <c r="B81" s="259">
        <v>2002707.58</v>
      </c>
      <c r="C81" s="92">
        <v>2012</v>
      </c>
      <c r="D81" s="60">
        <v>1989153.96</v>
      </c>
      <c r="E81" s="259">
        <v>1975600.34</v>
      </c>
      <c r="F81" s="259">
        <v>1962046.72</v>
      </c>
      <c r="G81" s="254"/>
      <c r="H81" s="259">
        <v>1948493.1</v>
      </c>
      <c r="I81" s="245"/>
      <c r="J81" s="387">
        <v>1934939.48</v>
      </c>
      <c r="K81" s="260">
        <v>1921385.86</v>
      </c>
      <c r="L81" s="387">
        <v>10667.58</v>
      </c>
      <c r="M81" s="265">
        <v>1894278.62</v>
      </c>
      <c r="N81" s="60">
        <v>1866718.6</v>
      </c>
      <c r="O81" s="260"/>
      <c r="Q81" s="213">
        <f t="shared" ref="Q81:AE81" si="39">Q13</f>
        <v>10</v>
      </c>
      <c r="R81" s="213" t="str">
        <f t="shared" si="39"/>
        <v>SMS</v>
      </c>
      <c r="S81" s="102">
        <f t="shared" si="39"/>
        <v>2259599.2415075586</v>
      </c>
      <c r="T81" s="102">
        <f t="shared" si="39"/>
        <v>2308683.2557489532</v>
      </c>
      <c r="U81" s="102">
        <f t="shared" si="39"/>
        <v>2159109.0191043536</v>
      </c>
      <c r="V81" s="102">
        <f t="shared" si="39"/>
        <v>2239435.09557846</v>
      </c>
      <c r="W81" s="102">
        <f t="shared" si="39"/>
        <v>2215367.1274889773</v>
      </c>
      <c r="X81" s="102">
        <f t="shared" si="39"/>
        <v>2013641.6837113632</v>
      </c>
      <c r="Y81" s="102">
        <f t="shared" si="39"/>
        <v>2356112.6790351272</v>
      </c>
      <c r="Z81" s="102">
        <f t="shared" si="39"/>
        <v>2058001.8834581042</v>
      </c>
      <c r="AA81" s="102">
        <f t="shared" si="39"/>
        <v>2036359.9637257643</v>
      </c>
      <c r="AB81" s="102">
        <f t="shared" si="39"/>
        <v>2210958.3832387594</v>
      </c>
      <c r="AC81" s="102">
        <f t="shared" si="39"/>
        <v>2063884.9366144845</v>
      </c>
      <c r="AD81" s="102">
        <f t="shared" si="39"/>
        <v>3294691.4407880898</v>
      </c>
      <c r="AE81" s="102">
        <f t="shared" si="39"/>
        <v>27215844.709999997</v>
      </c>
    </row>
    <row r="82" spans="1:32">
      <c r="A82" s="259">
        <v>10667.58</v>
      </c>
      <c r="B82" s="259">
        <v>10667.58</v>
      </c>
      <c r="C82" s="92">
        <v>2013</v>
      </c>
      <c r="D82" s="60">
        <v>10667.58</v>
      </c>
      <c r="E82" s="259">
        <v>10667.58</v>
      </c>
      <c r="F82" s="259">
        <v>10667.58</v>
      </c>
      <c r="G82" s="254"/>
      <c r="H82" s="259">
        <v>10667.58</v>
      </c>
      <c r="I82" s="245"/>
      <c r="J82" s="387">
        <v>10667.58</v>
      </c>
      <c r="K82" s="260">
        <v>10667.58</v>
      </c>
      <c r="L82" s="387">
        <v>353929.99</v>
      </c>
      <c r="M82" s="265">
        <v>10667.58</v>
      </c>
      <c r="N82" s="60">
        <v>9489.8700000000008</v>
      </c>
      <c r="O82" s="260"/>
      <c r="Q82" s="237"/>
      <c r="R82" s="237" t="s">
        <v>363</v>
      </c>
      <c r="S82" s="102">
        <f>(S81/S79)*100</f>
        <v>19.385421557558239</v>
      </c>
      <c r="T82" s="102">
        <f t="shared" ref="T82:AD82" si="40">(T81/T79)*100</f>
        <v>19.397772512172484</v>
      </c>
      <c r="U82" s="102">
        <f t="shared" si="40"/>
        <v>19.358438416682446</v>
      </c>
      <c r="V82" s="102">
        <f t="shared" si="40"/>
        <v>19.380195520925437</v>
      </c>
      <c r="W82" s="102">
        <f t="shared" si="40"/>
        <v>19.373836970069181</v>
      </c>
      <c r="X82" s="102">
        <f t="shared" si="40"/>
        <v>19.314766965098045</v>
      </c>
      <c r="Y82" s="102">
        <f t="shared" si="40"/>
        <v>19.409232305057067</v>
      </c>
      <c r="Z82" s="102">
        <f t="shared" si="40"/>
        <v>19.328717380998782</v>
      </c>
      <c r="AA82" s="102">
        <f t="shared" si="40"/>
        <v>19.321984834658505</v>
      </c>
      <c r="AB82" s="102">
        <f t="shared" si="40"/>
        <v>19.372657674706922</v>
      </c>
      <c r="AC82" s="102">
        <f t="shared" si="40"/>
        <v>19.330523919819363</v>
      </c>
      <c r="AD82" s="102">
        <f t="shared" si="40"/>
        <v>19.569548797948642</v>
      </c>
      <c r="AE82" s="102">
        <f>(AE81/AE79)*100</f>
        <v>19.387568916806412</v>
      </c>
    </row>
    <row r="83" spans="1:32">
      <c r="A83" s="259">
        <v>536457.43000000005</v>
      </c>
      <c r="B83" s="259">
        <v>513641.5</v>
      </c>
      <c r="C83" s="92">
        <v>2014</v>
      </c>
      <c r="D83" s="60">
        <v>490825.57</v>
      </c>
      <c r="E83" s="259">
        <v>468009.64</v>
      </c>
      <c r="F83" s="259">
        <v>445193.71</v>
      </c>
      <c r="G83" s="254"/>
      <c r="H83" s="259">
        <v>422377.78</v>
      </c>
      <c r="I83" s="245"/>
      <c r="J83" s="387">
        <v>399561.85</v>
      </c>
      <c r="K83" s="260">
        <v>376745.92</v>
      </c>
      <c r="L83" s="387">
        <v>3106976.28</v>
      </c>
      <c r="M83" s="265">
        <v>331114.06</v>
      </c>
      <c r="N83" s="60">
        <v>305978.84999999998</v>
      </c>
      <c r="O83" s="260"/>
      <c r="U83" s="124"/>
      <c r="V83" s="124"/>
      <c r="W83" s="124"/>
      <c r="X83" s="61"/>
      <c r="Y83" s="124"/>
      <c r="Z83" s="61"/>
    </row>
    <row r="84" spans="1:32">
      <c r="A84" s="259">
        <v>3209482.31</v>
      </c>
      <c r="B84" s="259">
        <v>3196828.23</v>
      </c>
      <c r="C84" s="92">
        <v>2015</v>
      </c>
      <c r="D84" s="60">
        <v>3184060.76</v>
      </c>
      <c r="E84" s="259">
        <v>3171406.68</v>
      </c>
      <c r="F84" s="259">
        <v>3157592.6</v>
      </c>
      <c r="G84" s="254"/>
      <c r="H84" s="259">
        <v>3144938.52</v>
      </c>
      <c r="I84" s="245"/>
      <c r="J84" s="387">
        <v>3132284.44</v>
      </c>
      <c r="K84" s="260">
        <v>3119630.36</v>
      </c>
      <c r="L84" s="387">
        <v>3147554.02</v>
      </c>
      <c r="M84" s="265">
        <v>3094309.4</v>
      </c>
      <c r="N84" s="60">
        <v>3081655.32</v>
      </c>
      <c r="O84" s="260"/>
      <c r="R84" s="100" t="s">
        <v>364</v>
      </c>
      <c r="S84" s="237" t="s">
        <v>365</v>
      </c>
      <c r="T84" s="237" t="s">
        <v>366</v>
      </c>
      <c r="U84" s="237" t="s">
        <v>367</v>
      </c>
      <c r="V84" s="100" t="s">
        <v>139</v>
      </c>
      <c r="W84" s="100" t="s">
        <v>368</v>
      </c>
      <c r="X84" s="100" t="s">
        <v>369</v>
      </c>
      <c r="Y84" s="100" t="s">
        <v>155</v>
      </c>
      <c r="Z84" s="237" t="s">
        <v>370</v>
      </c>
      <c r="AA84" s="100" t="s">
        <v>371</v>
      </c>
    </row>
    <row r="85" spans="1:32">
      <c r="A85" s="259">
        <v>3398020.7</v>
      </c>
      <c r="B85" s="259">
        <v>3376054.18</v>
      </c>
      <c r="C85" s="92">
        <v>2016</v>
      </c>
      <c r="D85" s="60">
        <v>3354087.66</v>
      </c>
      <c r="E85" s="259">
        <v>3332121.14</v>
      </c>
      <c r="F85" s="259">
        <v>3255394.06</v>
      </c>
      <c r="G85" s="254"/>
      <c r="H85" s="259">
        <v>3241116.4</v>
      </c>
      <c r="I85" s="245"/>
      <c r="J85" s="387">
        <v>3183940.86</v>
      </c>
      <c r="K85" s="260">
        <v>3161831.68</v>
      </c>
      <c r="L85" s="387">
        <v>2133121.69</v>
      </c>
      <c r="M85" s="265">
        <v>3133276.36</v>
      </c>
      <c r="N85" s="60">
        <v>3117485</v>
      </c>
      <c r="O85" s="260"/>
      <c r="R85" s="100" t="s">
        <v>372</v>
      </c>
      <c r="S85" s="45">
        <f>Cruz!I27</f>
        <v>155344981.10000002</v>
      </c>
      <c r="T85" s="184">
        <f>S85-U85</f>
        <v>43563736.62000002</v>
      </c>
      <c r="U85" s="45">
        <f>AE67</f>
        <v>111781244.48</v>
      </c>
      <c r="V85" s="45">
        <f>AE64</f>
        <v>107325520.45999999</v>
      </c>
      <c r="W85" s="45">
        <f>U85-V85</f>
        <v>4455724.0200000107</v>
      </c>
      <c r="X85" s="45">
        <f>102398436.72</f>
        <v>102398436.72</v>
      </c>
      <c r="Y85" s="184">
        <f>V85-X85</f>
        <v>4927083.7399999946</v>
      </c>
      <c r="Z85" s="184">
        <f>W85+Y85</f>
        <v>9382807.7600000054</v>
      </c>
      <c r="AA85" s="266">
        <f>Z85-W85</f>
        <v>4927083.7399999946</v>
      </c>
    </row>
    <row r="86" spans="1:32">
      <c r="A86" s="259">
        <v>2431405.69</v>
      </c>
      <c r="B86" s="259">
        <v>2394120.19</v>
      </c>
      <c r="C86" s="92">
        <v>2017</v>
      </c>
      <c r="D86" s="60">
        <v>2356834.69</v>
      </c>
      <c r="E86" s="259">
        <v>2319549.19</v>
      </c>
      <c r="F86" s="259">
        <v>2282263.69</v>
      </c>
      <c r="G86" s="254"/>
      <c r="H86" s="259">
        <v>2244978.19</v>
      </c>
      <c r="I86" s="245"/>
      <c r="J86" s="387">
        <v>2207692.69</v>
      </c>
      <c r="K86" s="260">
        <v>2170407.19</v>
      </c>
      <c r="L86" s="387">
        <v>1950038.57</v>
      </c>
      <c r="M86" s="265">
        <v>2095836.19</v>
      </c>
      <c r="N86" s="60">
        <v>2058550.69</v>
      </c>
      <c r="O86" s="260"/>
      <c r="T86" s="112" t="s">
        <v>373</v>
      </c>
    </row>
    <row r="87" spans="1:32">
      <c r="A87" s="259">
        <v>1951977.07</v>
      </c>
      <c r="B87" s="259">
        <v>1951977.07</v>
      </c>
      <c r="C87" s="92">
        <v>2018</v>
      </c>
      <c r="D87" s="60">
        <v>1950772.37</v>
      </c>
      <c r="E87" s="259">
        <v>1950772.37</v>
      </c>
      <c r="F87" s="259">
        <v>1950772.37</v>
      </c>
      <c r="G87" s="254"/>
      <c r="H87" s="259">
        <v>1950038.57</v>
      </c>
      <c r="I87" s="245"/>
      <c r="J87" s="387">
        <v>1950038.57</v>
      </c>
      <c r="K87" s="260">
        <v>1950038.57</v>
      </c>
      <c r="L87" s="387">
        <v>1591853.37</v>
      </c>
      <c r="M87" s="265">
        <v>1950038.57</v>
      </c>
      <c r="N87" s="60">
        <v>1948421.86</v>
      </c>
      <c r="O87" s="260"/>
      <c r="Q87" s="100" t="s">
        <v>136</v>
      </c>
      <c r="R87" s="100" t="s">
        <v>374</v>
      </c>
      <c r="S87" s="184">
        <f>S40</f>
        <v>9502229.8300000001</v>
      </c>
      <c r="T87" s="184">
        <f t="shared" ref="T87:AE87" si="41">T40</f>
        <v>9870035.4800000004</v>
      </c>
      <c r="U87" s="184">
        <f t="shared" si="41"/>
        <v>11697778.77</v>
      </c>
      <c r="V87" s="184">
        <f t="shared" si="41"/>
        <v>9795349.0399999991</v>
      </c>
      <c r="W87" s="184">
        <f t="shared" si="41"/>
        <v>11144329.4</v>
      </c>
      <c r="X87" s="184">
        <f t="shared" si="41"/>
        <v>10512021.270000001</v>
      </c>
      <c r="Y87" s="184">
        <f t="shared" si="41"/>
        <v>11281097.359999999</v>
      </c>
      <c r="Z87" s="184">
        <f t="shared" si="41"/>
        <v>11242671.82</v>
      </c>
      <c r="AA87" s="184">
        <f t="shared" si="41"/>
        <v>10938610.350000001</v>
      </c>
      <c r="AB87" s="184">
        <f t="shared" si="41"/>
        <v>11341397.140000001</v>
      </c>
      <c r="AC87" s="184">
        <f t="shared" si="41"/>
        <v>0</v>
      </c>
      <c r="AD87" s="184">
        <f t="shared" si="41"/>
        <v>0</v>
      </c>
      <c r="AE87" s="184">
        <f t="shared" si="41"/>
        <v>107325520.45999999</v>
      </c>
      <c r="AF87" s="61"/>
    </row>
    <row r="88" spans="1:32">
      <c r="A88" s="259">
        <v>1602004.85</v>
      </c>
      <c r="B88" s="259">
        <v>1602004.85</v>
      </c>
      <c r="C88" s="92">
        <v>2019</v>
      </c>
      <c r="D88" s="60">
        <v>1597163.51</v>
      </c>
      <c r="E88" s="259">
        <v>1595013.1</v>
      </c>
      <c r="F88" s="259">
        <v>1595013.1</v>
      </c>
      <c r="G88" s="254"/>
      <c r="H88" s="259">
        <v>1590916.36</v>
      </c>
      <c r="I88" s="245"/>
      <c r="J88" s="387">
        <v>1590916.36</v>
      </c>
      <c r="K88" s="260">
        <v>1590916.36</v>
      </c>
      <c r="L88" s="387">
        <v>6154226.1600000001</v>
      </c>
      <c r="M88" s="265">
        <v>1589832.36</v>
      </c>
      <c r="N88" s="60">
        <v>1586258.09</v>
      </c>
      <c r="O88" s="260"/>
    </row>
    <row r="89" spans="1:32">
      <c r="A89" s="60">
        <v>11681226.07</v>
      </c>
      <c r="B89" s="60">
        <v>8367616.3600000003</v>
      </c>
      <c r="C89" s="92">
        <v>2020</v>
      </c>
      <c r="D89" s="60">
        <v>7165670.71</v>
      </c>
      <c r="E89" s="60">
        <v>7195049.4699999997</v>
      </c>
      <c r="F89" s="259">
        <v>6792191.1500000004</v>
      </c>
      <c r="G89" s="254"/>
      <c r="H89" s="375">
        <v>6524062.2000000002</v>
      </c>
      <c r="I89" s="376"/>
      <c r="J89" s="60">
        <v>6409256.2400000002</v>
      </c>
      <c r="K89" s="407">
        <v>6297433.3700000001</v>
      </c>
      <c r="M89" s="260">
        <v>6043305.2300000004</v>
      </c>
      <c r="N89" s="60">
        <v>5949903.7199999997</v>
      </c>
      <c r="O89" s="264"/>
      <c r="Q89" s="100">
        <f t="shared" ref="Q89:AE89" si="42">Q33</f>
        <v>10</v>
      </c>
      <c r="R89" s="100" t="str">
        <f t="shared" si="42"/>
        <v>SMSMA</v>
      </c>
      <c r="S89" s="102">
        <f t="shared" si="42"/>
        <v>1923273.17</v>
      </c>
      <c r="T89" s="102">
        <f t="shared" si="42"/>
        <v>1859487.61</v>
      </c>
      <c r="U89" s="102">
        <f t="shared" si="42"/>
        <v>3319884.02</v>
      </c>
      <c r="V89" s="102">
        <f t="shared" si="42"/>
        <v>1694768.04</v>
      </c>
      <c r="W89" s="102">
        <f t="shared" si="42"/>
        <v>2841243.25</v>
      </c>
      <c r="X89" s="102">
        <f t="shared" si="42"/>
        <v>2332380.98</v>
      </c>
      <c r="Y89" s="102">
        <f t="shared" si="42"/>
        <v>2773153.98</v>
      </c>
      <c r="Z89" s="102">
        <f t="shared" si="42"/>
        <v>2320018.91</v>
      </c>
      <c r="AA89" s="102">
        <f t="shared" si="42"/>
        <v>2441388.21</v>
      </c>
      <c r="AB89" s="102">
        <f t="shared" si="42"/>
        <v>2299921.27</v>
      </c>
      <c r="AC89" s="102">
        <f t="shared" si="42"/>
        <v>0</v>
      </c>
      <c r="AD89" s="102">
        <f t="shared" si="42"/>
        <v>0</v>
      </c>
      <c r="AE89" s="102">
        <f t="shared" si="42"/>
        <v>23805519.440000001</v>
      </c>
    </row>
    <row r="90" spans="1:32">
      <c r="A90" s="267">
        <f>SUM(A73:A89)</f>
        <v>27028955.25</v>
      </c>
      <c r="B90" s="267">
        <f>SUM(B73:B89)</f>
        <v>23607069.890000001</v>
      </c>
      <c r="C90" s="246">
        <f>23607069.89-B90</f>
        <v>0</v>
      </c>
      <c r="D90" s="268">
        <f>SUM(D73:D89)</f>
        <v>22290689.159999996</v>
      </c>
      <c r="E90" s="268">
        <f>SUM(E73:E89)</f>
        <v>22209641.859999999</v>
      </c>
      <c r="F90" s="267">
        <f>SUM(F73:F89)</f>
        <v>21642587.329999998</v>
      </c>
      <c r="G90" s="248"/>
      <c r="H90" s="379">
        <f>SUM(H73:H89)</f>
        <v>21269041.050000001</v>
      </c>
      <c r="I90" s="380"/>
      <c r="J90" s="103">
        <f>SUM(J73:J89)</f>
        <v>21010750.420000002</v>
      </c>
      <c r="K90" s="268">
        <f t="shared" ref="K90:O90" si="43">SUM(K73:K89)</f>
        <v>20790509.239999998</v>
      </c>
      <c r="L90" s="267">
        <f t="shared" si="43"/>
        <v>20543268.719999999</v>
      </c>
      <c r="M90" s="184">
        <f t="shared" si="43"/>
        <v>20334110.719999999</v>
      </c>
      <c r="N90" s="269">
        <f>SUM(N73:N89)</f>
        <v>20109854.16</v>
      </c>
      <c r="O90" s="184">
        <f t="shared" si="43"/>
        <v>0</v>
      </c>
      <c r="Q90" s="213" t="s">
        <v>375</v>
      </c>
      <c r="R90" s="237" t="s">
        <v>363</v>
      </c>
      <c r="S90" s="102">
        <f t="shared" ref="S90:AD90" si="44">(S89/S87)*100</f>
        <v>20.240229971368731</v>
      </c>
      <c r="T90" s="102">
        <f t="shared" si="44"/>
        <v>18.839725690631461</v>
      </c>
      <c r="U90" s="102">
        <f>(U89/U87)*100</f>
        <v>28.380465088929018</v>
      </c>
      <c r="V90" s="102">
        <f t="shared" si="44"/>
        <v>17.301762633258857</v>
      </c>
      <c r="W90" s="102">
        <f t="shared" si="44"/>
        <v>25.494968319942156</v>
      </c>
      <c r="X90" s="102">
        <f t="shared" si="44"/>
        <v>22.18774981607319</v>
      </c>
      <c r="Y90" s="102">
        <f t="shared" si="44"/>
        <v>24.582306946777386</v>
      </c>
      <c r="Z90" s="102">
        <f t="shared" si="44"/>
        <v>20.635832363912229</v>
      </c>
      <c r="AA90" s="102">
        <f t="shared" si="44"/>
        <v>22.318997860637751</v>
      </c>
      <c r="AB90" s="102">
        <f t="shared" si="44"/>
        <v>20.278994215698543</v>
      </c>
      <c r="AC90" s="102" t="e">
        <f t="shared" si="44"/>
        <v>#DIV/0!</v>
      </c>
      <c r="AD90" s="102" t="e">
        <f t="shared" si="44"/>
        <v>#DIV/0!</v>
      </c>
      <c r="AE90" s="101">
        <f>(AE89/AE87)*100</f>
        <v>22.180669926378108</v>
      </c>
    </row>
    <row r="91" spans="1:32">
      <c r="A91" s="91" t="s">
        <v>376</v>
      </c>
      <c r="B91" s="61">
        <f>A90-B90</f>
        <v>3421885.3599999994</v>
      </c>
      <c r="C91" s="61"/>
      <c r="D91" s="61">
        <f>B90-D90</f>
        <v>1316380.7300000042</v>
      </c>
      <c r="E91" s="61">
        <f>D90-E90</f>
        <v>81047.29999999702</v>
      </c>
      <c r="F91" s="61">
        <f>E90-F90</f>
        <v>567054.53000000119</v>
      </c>
      <c r="H91" s="61">
        <f>F90-H90</f>
        <v>373546.27999999747</v>
      </c>
      <c r="J91" s="61">
        <f>H90-J90</f>
        <v>258290.62999999896</v>
      </c>
      <c r="K91" s="61">
        <f>J90-K90</f>
        <v>220241.18000000343</v>
      </c>
      <c r="L91" s="61">
        <f>K90-L90</f>
        <v>247240.51999999955</v>
      </c>
      <c r="M91" s="61">
        <f>L90-M90</f>
        <v>209158</v>
      </c>
      <c r="N91" s="61">
        <f>M90-N90</f>
        <v>224256.55999999866</v>
      </c>
      <c r="O91" s="124"/>
    </row>
    <row r="92" spans="1:32">
      <c r="A92" s="270" t="s">
        <v>377</v>
      </c>
      <c r="B92" s="267">
        <f>22290689.16-B90</f>
        <v>-1316380.7300000004</v>
      </c>
      <c r="C92" s="246"/>
      <c r="D92" s="267"/>
      <c r="E92" s="267"/>
      <c r="F92" s="267"/>
      <c r="G92" s="248"/>
      <c r="H92" s="267"/>
      <c r="I92" s="248"/>
      <c r="J92" s="103"/>
      <c r="K92" s="103"/>
      <c r="L92" s="103"/>
      <c r="M92" s="103">
        <f>L90-M90</f>
        <v>209158</v>
      </c>
      <c r="N92" s="103">
        <f>M90-N90</f>
        <v>224256.55999999866</v>
      </c>
      <c r="O92" s="103">
        <f>N90-O90</f>
        <v>20109854.16</v>
      </c>
    </row>
    <row r="93" spans="1:32">
      <c r="D93" s="60"/>
      <c r="M93" s="124">
        <f>20334110.72-M90</f>
        <v>0</v>
      </c>
    </row>
    <row r="94" spans="1:32">
      <c r="R94" s="213" t="s">
        <v>378</v>
      </c>
      <c r="S94" s="100" t="str">
        <f t="shared" ref="S94:AE94" si="45">S43</f>
        <v>Janeiro</v>
      </c>
      <c r="T94" s="100" t="str">
        <f t="shared" si="45"/>
        <v>Fevereiro</v>
      </c>
      <c r="U94" s="100" t="str">
        <f t="shared" si="45"/>
        <v>Março</v>
      </c>
      <c r="V94" s="100" t="str">
        <f t="shared" si="45"/>
        <v>Abril</v>
      </c>
      <c r="W94" s="100" t="str">
        <f t="shared" si="45"/>
        <v>Maio</v>
      </c>
      <c r="X94" s="100" t="str">
        <f t="shared" si="45"/>
        <v>Junho</v>
      </c>
      <c r="Y94" s="100" t="str">
        <f t="shared" si="45"/>
        <v>Julho</v>
      </c>
      <c r="Z94" s="100" t="str">
        <f t="shared" si="45"/>
        <v>Agosto</v>
      </c>
      <c r="AA94" s="100" t="str">
        <f t="shared" si="45"/>
        <v>Setembro</v>
      </c>
      <c r="AB94" s="100" t="str">
        <f t="shared" si="45"/>
        <v>Outubro</v>
      </c>
      <c r="AC94" s="100" t="str">
        <f t="shared" si="45"/>
        <v>Novembro</v>
      </c>
      <c r="AD94" s="100" t="str">
        <f t="shared" si="45"/>
        <v>Dezembro</v>
      </c>
      <c r="AE94" s="100" t="str">
        <f t="shared" si="45"/>
        <v>TOTAL</v>
      </c>
    </row>
    <row r="95" spans="1:32">
      <c r="Q95" s="343"/>
      <c r="R95" s="344" t="s">
        <v>305</v>
      </c>
      <c r="S95" s="224">
        <f>S89/$AE$89</f>
        <v>8.0791060865000805E-2</v>
      </c>
      <c r="T95" s="224">
        <f t="shared" ref="T95:AD95" si="46">T89/$AE$89</f>
        <v>7.8111616706650622E-2</v>
      </c>
      <c r="U95" s="224">
        <f t="shared" si="46"/>
        <v>0.13945858347546311</v>
      </c>
      <c r="V95" s="224">
        <f t="shared" si="46"/>
        <v>7.119223104001296E-2</v>
      </c>
      <c r="W95" s="224">
        <f t="shared" si="46"/>
        <v>0.11935228958818299</v>
      </c>
      <c r="X95" s="224">
        <f t="shared" si="46"/>
        <v>9.7976479189147231E-2</v>
      </c>
      <c r="Y95" s="224">
        <f t="shared" si="46"/>
        <v>0.11649205920456907</v>
      </c>
      <c r="Z95" s="224">
        <f t="shared" si="46"/>
        <v>9.745718491240786E-2</v>
      </c>
      <c r="AA95" s="224">
        <f t="shared" si="46"/>
        <v>0.1025555529738947</v>
      </c>
      <c r="AB95" s="224">
        <f t="shared" si="46"/>
        <v>9.6612942044670622E-2</v>
      </c>
      <c r="AC95" s="224">
        <f t="shared" si="46"/>
        <v>0</v>
      </c>
      <c r="AD95" s="224">
        <f t="shared" si="46"/>
        <v>0</v>
      </c>
      <c r="AE95" s="224">
        <f>AE89/$AE$20</f>
        <v>0.16958178357543063</v>
      </c>
    </row>
    <row r="98" spans="2:31">
      <c r="S98" s="112" t="s">
        <v>379</v>
      </c>
    </row>
    <row r="99" spans="2:31">
      <c r="Q99" s="230" t="s">
        <v>306</v>
      </c>
      <c r="R99" s="231"/>
      <c r="S99" s="224" t="s">
        <v>307</v>
      </c>
      <c r="T99" s="232">
        <f>S89+T89</f>
        <v>3782760.7800000003</v>
      </c>
      <c r="U99" s="224" t="s">
        <v>308</v>
      </c>
      <c r="V99" s="233">
        <f>U89+V89</f>
        <v>5014652.0600000005</v>
      </c>
      <c r="W99" s="224" t="s">
        <v>309</v>
      </c>
      <c r="X99" s="233">
        <f>W89+X89</f>
        <v>5173624.2300000004</v>
      </c>
      <c r="Y99" s="224" t="s">
        <v>310</v>
      </c>
      <c r="Z99" s="233">
        <f>Y89+Z89</f>
        <v>5093172.8900000006</v>
      </c>
      <c r="AA99" s="224" t="s">
        <v>311</v>
      </c>
      <c r="AB99" s="233">
        <f>AA89+AB89</f>
        <v>4741309.4800000004</v>
      </c>
      <c r="AC99" s="224" t="s">
        <v>312</v>
      </c>
      <c r="AD99" s="233">
        <f>AC89+AD89</f>
        <v>0</v>
      </c>
      <c r="AE99" s="45">
        <f>SUM(S99:AD99)</f>
        <v>23805519.440000001</v>
      </c>
    </row>
    <row r="101" spans="2:31">
      <c r="T101" s="112" t="s">
        <v>380</v>
      </c>
    </row>
    <row r="102" spans="2:31">
      <c r="R102" s="237" t="s">
        <v>381</v>
      </c>
      <c r="S102" s="45">
        <f t="shared" ref="S102:AE102" si="47">S81-S89</f>
        <v>336326.07150755869</v>
      </c>
      <c r="T102" s="45">
        <f t="shared" si="47"/>
        <v>449195.6457489531</v>
      </c>
      <c r="U102" s="45">
        <f t="shared" si="47"/>
        <v>-1160775.0008956464</v>
      </c>
      <c r="V102" s="45">
        <f t="shared" si="47"/>
        <v>544667.05557845999</v>
      </c>
      <c r="W102" s="45">
        <f t="shared" si="47"/>
        <v>-625876.12251102272</v>
      </c>
      <c r="X102" s="45">
        <f t="shared" si="47"/>
        <v>-318739.29628863675</v>
      </c>
      <c r="Y102" s="45">
        <f t="shared" si="47"/>
        <v>-417041.30096487282</v>
      </c>
      <c r="Z102" s="45">
        <f t="shared" si="47"/>
        <v>-262017.02654189593</v>
      </c>
      <c r="AA102" s="45">
        <f t="shared" si="47"/>
        <v>-405028.24627423566</v>
      </c>
      <c r="AB102" s="45">
        <f t="shared" si="47"/>
        <v>-88962.886761240661</v>
      </c>
      <c r="AC102" s="45">
        <f t="shared" si="47"/>
        <v>2063884.9366144845</v>
      </c>
      <c r="AD102" s="45">
        <f t="shared" si="47"/>
        <v>3294691.4407880898</v>
      </c>
      <c r="AE102" s="45">
        <f t="shared" si="47"/>
        <v>3410325.2699999958</v>
      </c>
    </row>
    <row r="105" spans="2:31">
      <c r="B105" s="361" t="s">
        <v>103</v>
      </c>
      <c r="C105" s="362"/>
      <c r="D105" s="362"/>
      <c r="E105" s="363" t="s">
        <v>104</v>
      </c>
      <c r="F105" s="363"/>
      <c r="H105" s="361"/>
      <c r="I105" s="364" t="s">
        <v>105</v>
      </c>
    </row>
    <row r="106" spans="2:31">
      <c r="B106" s="361" t="s">
        <v>106</v>
      </c>
      <c r="C106" s="362"/>
      <c r="D106" s="362"/>
      <c r="E106" s="363" t="s">
        <v>107</v>
      </c>
      <c r="F106" s="363"/>
      <c r="H106" s="361"/>
      <c r="I106" s="364" t="s">
        <v>108</v>
      </c>
      <c r="J106" s="365"/>
      <c r="T106" s="112" t="s">
        <v>382</v>
      </c>
    </row>
    <row r="108" spans="2:31">
      <c r="S108" s="112" t="s">
        <v>383</v>
      </c>
    </row>
    <row r="109" spans="2:31">
      <c r="S109" s="100" t="s">
        <v>384</v>
      </c>
      <c r="T109" s="100" t="s">
        <v>385</v>
      </c>
      <c r="U109" s="100" t="s">
        <v>386</v>
      </c>
      <c r="V109" s="100" t="s">
        <v>387</v>
      </c>
      <c r="W109" s="100" t="s">
        <v>388</v>
      </c>
      <c r="X109" s="100" t="s">
        <v>389</v>
      </c>
      <c r="Y109" s="100" t="s">
        <v>390</v>
      </c>
      <c r="Z109" s="100" t="s">
        <v>391</v>
      </c>
      <c r="AA109" s="100" t="s">
        <v>392</v>
      </c>
      <c r="AB109" s="100" t="s">
        <v>393</v>
      </c>
      <c r="AC109" s="100" t="s">
        <v>394</v>
      </c>
      <c r="AD109" s="100" t="s">
        <v>395</v>
      </c>
      <c r="AE109" s="100" t="s">
        <v>396</v>
      </c>
    </row>
    <row r="110" spans="2:31">
      <c r="Q110" s="213" t="s">
        <v>362</v>
      </c>
      <c r="R110" s="100" t="s">
        <v>289</v>
      </c>
      <c r="S110" s="102">
        <f t="shared" ref="S110:AE110" si="48">S12</f>
        <v>3235033.4480858669</v>
      </c>
      <c r="T110" s="102">
        <f t="shared" si="48"/>
        <v>3305306.2756388159</v>
      </c>
      <c r="U110" s="102">
        <f t="shared" si="48"/>
        <v>3091163.14369372</v>
      </c>
      <c r="V110" s="102">
        <f t="shared" si="48"/>
        <v>3206164.7507812968</v>
      </c>
      <c r="W110" s="102">
        <f t="shared" si="48"/>
        <v>3171707.0113880965</v>
      </c>
      <c r="X110" s="102">
        <f t="shared" si="48"/>
        <v>2882899.7990458081</v>
      </c>
      <c r="Y110" s="102">
        <f t="shared" si="48"/>
        <v>3373210.2507932005</v>
      </c>
      <c r="Z110" s="102">
        <f t="shared" si="48"/>
        <v>2946409.6141087362</v>
      </c>
      <c r="AA110" s="102">
        <f t="shared" si="48"/>
        <v>2915425.2108000335</v>
      </c>
      <c r="AB110" s="102">
        <f t="shared" si="48"/>
        <v>3165395.0801166045</v>
      </c>
      <c r="AC110" s="102">
        <f t="shared" si="48"/>
        <v>2954832.2907445543</v>
      </c>
      <c r="AD110" s="102">
        <f t="shared" si="48"/>
        <v>4716959.0148032596</v>
      </c>
      <c r="AE110" s="102">
        <f t="shared" si="48"/>
        <v>38964505.889999993</v>
      </c>
    </row>
    <row r="111" spans="2:31">
      <c r="R111" s="237" t="s">
        <v>363</v>
      </c>
      <c r="S111" s="102">
        <f t="shared" ref="S111:AE111" si="49">(S110/S79)*100</f>
        <v>27.753809610108217</v>
      </c>
      <c r="T111" s="102">
        <f t="shared" si="49"/>
        <v>27.771492281689497</v>
      </c>
      <c r="U111" s="102">
        <f t="shared" si="49"/>
        <v>27.715178262715234</v>
      </c>
      <c r="V111" s="102">
        <f t="shared" si="49"/>
        <v>27.746327573914598</v>
      </c>
      <c r="W111" s="102">
        <f t="shared" si="49"/>
        <v>27.737224134542039</v>
      </c>
      <c r="X111" s="102">
        <f t="shared" si="49"/>
        <v>27.652654517793213</v>
      </c>
      <c r="Y111" s="102">
        <f t="shared" si="49"/>
        <v>27.787899090741629</v>
      </c>
      <c r="Z111" s="102">
        <f t="shared" si="49"/>
        <v>27.672627113475045</v>
      </c>
      <c r="AA111" s="102">
        <f t="shared" si="49"/>
        <v>27.662988230525581</v>
      </c>
      <c r="AB111" s="102">
        <f t="shared" si="49"/>
        <v>27.735535755526858</v>
      </c>
      <c r="AC111" s="102">
        <f t="shared" si="49"/>
        <v>27.67521350729325</v>
      </c>
      <c r="AD111" s="102">
        <f t="shared" si="49"/>
        <v>28.017421745581096</v>
      </c>
      <c r="AE111" s="101">
        <f t="shared" si="49"/>
        <v>27.756883951285754</v>
      </c>
    </row>
    <row r="113" spans="12:31">
      <c r="T113" s="112" t="s">
        <v>397</v>
      </c>
    </row>
    <row r="114" spans="12:31">
      <c r="S114" s="100" t="s">
        <v>384</v>
      </c>
      <c r="T114" s="100" t="s">
        <v>385</v>
      </c>
      <c r="U114" s="100" t="s">
        <v>386</v>
      </c>
      <c r="V114" s="100" t="s">
        <v>387</v>
      </c>
      <c r="W114" s="100" t="s">
        <v>388</v>
      </c>
      <c r="X114" s="100" t="s">
        <v>389</v>
      </c>
      <c r="Y114" s="100" t="s">
        <v>390</v>
      </c>
      <c r="Z114" s="100" t="s">
        <v>391</v>
      </c>
      <c r="AA114" s="100" t="s">
        <v>392</v>
      </c>
      <c r="AB114" s="100" t="s">
        <v>393</v>
      </c>
      <c r="AC114" s="100" t="s">
        <v>394</v>
      </c>
      <c r="AD114" s="100" t="s">
        <v>395</v>
      </c>
      <c r="AE114" s="100" t="s">
        <v>396</v>
      </c>
    </row>
    <row r="115" spans="12:31">
      <c r="L115" s="60"/>
      <c r="Q115" s="100" t="s">
        <v>136</v>
      </c>
      <c r="R115" s="100" t="s">
        <v>275</v>
      </c>
      <c r="S115" s="184">
        <f>S12</f>
        <v>3235033.4480858669</v>
      </c>
      <c r="T115" s="184">
        <f t="shared" ref="T115:AD115" si="50">T12</f>
        <v>3305306.2756388159</v>
      </c>
      <c r="U115" s="184">
        <f t="shared" si="50"/>
        <v>3091163.14369372</v>
      </c>
      <c r="V115" s="184">
        <f t="shared" si="50"/>
        <v>3206164.7507812968</v>
      </c>
      <c r="W115" s="184">
        <f t="shared" si="50"/>
        <v>3171707.0113880965</v>
      </c>
      <c r="X115" s="184">
        <f t="shared" si="50"/>
        <v>2882899.7990458081</v>
      </c>
      <c r="Y115" s="184">
        <f t="shared" si="50"/>
        <v>3373210.2507932005</v>
      </c>
      <c r="Z115" s="184">
        <f t="shared" si="50"/>
        <v>2946409.6141087362</v>
      </c>
      <c r="AA115" s="184">
        <f t="shared" si="50"/>
        <v>2915425.2108000335</v>
      </c>
      <c r="AB115" s="184">
        <f t="shared" si="50"/>
        <v>3165395.0801166045</v>
      </c>
      <c r="AC115" s="184">
        <f t="shared" si="50"/>
        <v>2954832.2907445543</v>
      </c>
      <c r="AD115" s="184">
        <f t="shared" si="50"/>
        <v>4716959.0148032596</v>
      </c>
      <c r="AE115" s="184">
        <f>SUM(S115:AD115)</f>
        <v>38964505.889999993</v>
      </c>
    </row>
    <row r="116" spans="12:31">
      <c r="L116" s="60"/>
    </row>
    <row r="117" spans="12:31">
      <c r="L117" s="60"/>
    </row>
    <row r="118" spans="12:31">
      <c r="L118" s="61"/>
      <c r="R118" s="213" t="s">
        <v>378</v>
      </c>
      <c r="S118" s="100" t="s">
        <v>384</v>
      </c>
      <c r="T118" s="100" t="s">
        <v>385</v>
      </c>
      <c r="U118" s="100" t="s">
        <v>386</v>
      </c>
      <c r="V118" s="100" t="s">
        <v>387</v>
      </c>
      <c r="W118" s="100" t="s">
        <v>388</v>
      </c>
      <c r="X118" s="100" t="s">
        <v>389</v>
      </c>
      <c r="Y118" s="100" t="s">
        <v>390</v>
      </c>
      <c r="Z118" s="100" t="s">
        <v>391</v>
      </c>
      <c r="AA118" s="100" t="s">
        <v>392</v>
      </c>
      <c r="AB118" s="100" t="s">
        <v>393</v>
      </c>
      <c r="AC118" s="100" t="s">
        <v>394</v>
      </c>
      <c r="AD118" s="100" t="s">
        <v>395</v>
      </c>
      <c r="AE118" s="100" t="s">
        <v>396</v>
      </c>
    </row>
    <row r="119" spans="12:31">
      <c r="L119" s="60"/>
      <c r="Q119" s="100">
        <v>9</v>
      </c>
      <c r="R119" s="100" t="s">
        <v>148</v>
      </c>
      <c r="S119" s="102">
        <f t="shared" ref="S119:AD119" si="51">S32</f>
        <v>2501144.19</v>
      </c>
      <c r="T119" s="102">
        <f t="shared" si="51"/>
        <v>2645212.89</v>
      </c>
      <c r="U119" s="102">
        <f t="shared" si="51"/>
        <v>2707776.74</v>
      </c>
      <c r="V119" s="102">
        <f t="shared" si="51"/>
        <v>2760789.37</v>
      </c>
      <c r="W119" s="102">
        <f t="shared" si="51"/>
        <v>2538135.12</v>
      </c>
      <c r="X119" s="102">
        <f t="shared" si="51"/>
        <v>2596091.34</v>
      </c>
      <c r="Y119" s="102">
        <f t="shared" si="51"/>
        <v>2486286.67</v>
      </c>
      <c r="Z119" s="102">
        <f t="shared" si="51"/>
        <v>2904138.86</v>
      </c>
      <c r="AA119" s="102">
        <f t="shared" si="51"/>
        <v>2749841.94</v>
      </c>
      <c r="AB119" s="102">
        <f t="shared" si="51"/>
        <v>3292207.92</v>
      </c>
      <c r="AC119" s="102">
        <f t="shared" si="51"/>
        <v>0</v>
      </c>
      <c r="AD119" s="102">
        <f t="shared" si="51"/>
        <v>0</v>
      </c>
      <c r="AE119" s="184">
        <f>SUM(S119:AD119)</f>
        <v>27181625.039999999</v>
      </c>
    </row>
    <row r="120" spans="12:31">
      <c r="Q120" s="213" t="s">
        <v>375</v>
      </c>
      <c r="R120" s="237" t="s">
        <v>363</v>
      </c>
      <c r="S120" s="102">
        <f t="shared" ref="S120:AE120" si="52">(S119/S87)*100</f>
        <v>26.321655387701771</v>
      </c>
      <c r="T120" s="102">
        <f t="shared" si="52"/>
        <v>26.800439525876961</v>
      </c>
      <c r="U120" s="102">
        <f t="shared" si="52"/>
        <v>23.147785517574807</v>
      </c>
      <c r="V120" s="102">
        <f t="shared" si="52"/>
        <v>28.184696213745138</v>
      </c>
      <c r="W120" s="102">
        <f t="shared" si="52"/>
        <v>22.775126514117574</v>
      </c>
      <c r="X120" s="102">
        <f t="shared" si="52"/>
        <v>24.696404937924935</v>
      </c>
      <c r="Y120" s="102">
        <f t="shared" si="52"/>
        <v>22.039404418365908</v>
      </c>
      <c r="Z120" s="102">
        <f t="shared" si="52"/>
        <v>25.831394053802413</v>
      </c>
      <c r="AA120" s="102">
        <f t="shared" si="52"/>
        <v>25.138859983251894</v>
      </c>
      <c r="AB120" s="102">
        <f t="shared" si="52"/>
        <v>29.028239460804205</v>
      </c>
      <c r="AC120" s="102" t="e">
        <f t="shared" si="52"/>
        <v>#DIV/0!</v>
      </c>
      <c r="AD120" s="102" t="e">
        <f t="shared" si="52"/>
        <v>#DIV/0!</v>
      </c>
      <c r="AE120" s="101">
        <f t="shared" si="52"/>
        <v>25.326338901967439</v>
      </c>
    </row>
    <row r="121" spans="12:31">
      <c r="L121" s="60"/>
      <c r="R121" s="258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</row>
    <row r="122" spans="12:31" ht="12.75" customHeight="1">
      <c r="L122" s="60"/>
      <c r="Q122" s="705" t="s">
        <v>398</v>
      </c>
      <c r="R122" s="706"/>
      <c r="S122" s="224">
        <f t="shared" ref="S122:AE122" si="53">S119/$AE$119</f>
        <v>9.2015991918046117E-2</v>
      </c>
      <c r="T122" s="224">
        <f t="shared" si="53"/>
        <v>9.7316215866687567E-2</v>
      </c>
      <c r="U122" s="224">
        <f t="shared" si="53"/>
        <v>9.9617912321845511E-2</v>
      </c>
      <c r="V122" s="224">
        <f t="shared" si="53"/>
        <v>0.10156822360463259</v>
      </c>
      <c r="W122" s="224">
        <f t="shared" si="53"/>
        <v>9.3376871922297697E-2</v>
      </c>
      <c r="X122" s="224">
        <f t="shared" si="53"/>
        <v>9.5509055701402612E-2</v>
      </c>
      <c r="Y122" s="224">
        <f t="shared" si="53"/>
        <v>9.1469390308387535E-2</v>
      </c>
      <c r="Z122" s="224">
        <f t="shared" si="53"/>
        <v>0.10684198813449602</v>
      </c>
      <c r="AA122" s="224">
        <f t="shared" si="53"/>
        <v>0.10116547248199403</v>
      </c>
      <c r="AB122" s="224">
        <f t="shared" si="53"/>
        <v>0.12111887774021034</v>
      </c>
      <c r="AC122" s="224">
        <f t="shared" si="53"/>
        <v>0</v>
      </c>
      <c r="AD122" s="224">
        <f t="shared" si="53"/>
        <v>0</v>
      </c>
      <c r="AE122" s="224">
        <f t="shared" si="53"/>
        <v>1</v>
      </c>
    </row>
    <row r="123" spans="12:31">
      <c r="L123" s="60"/>
    </row>
    <row r="124" spans="12:31">
      <c r="L124" s="61"/>
    </row>
    <row r="125" spans="12:31">
      <c r="S125" s="112" t="s">
        <v>399</v>
      </c>
      <c r="AE125" s="92" t="s">
        <v>400</v>
      </c>
    </row>
    <row r="126" spans="12:31">
      <c r="Q126" s="230" t="s">
        <v>306</v>
      </c>
      <c r="R126" s="231"/>
      <c r="S126" s="224" t="s">
        <v>307</v>
      </c>
      <c r="T126" s="232">
        <f>S119+T119</f>
        <v>5146357.08</v>
      </c>
      <c r="U126" s="224" t="s">
        <v>308</v>
      </c>
      <c r="V126" s="233">
        <f>U119+V119</f>
        <v>5468566.1100000003</v>
      </c>
      <c r="W126" s="224" t="s">
        <v>309</v>
      </c>
      <c r="X126" s="233">
        <f>W119+X119</f>
        <v>5134226.46</v>
      </c>
      <c r="Y126" s="224" t="s">
        <v>310</v>
      </c>
      <c r="Z126" s="233">
        <f>Y119+Z119</f>
        <v>5390425.5299999993</v>
      </c>
      <c r="AA126" s="224" t="s">
        <v>311</v>
      </c>
      <c r="AB126" s="233">
        <f>AA119+AB119</f>
        <v>6042049.8599999994</v>
      </c>
      <c r="AC126" s="224" t="s">
        <v>312</v>
      </c>
      <c r="AD126" s="233">
        <f>AC119+AD119</f>
        <v>0</v>
      </c>
      <c r="AE126" s="45">
        <f>SUM(S126:AD126)</f>
        <v>27181625.039999999</v>
      </c>
    </row>
    <row r="130" spans="18:28">
      <c r="S130" s="361" t="s">
        <v>103</v>
      </c>
      <c r="T130" s="362"/>
      <c r="U130" s="362"/>
      <c r="V130" s="363" t="s">
        <v>104</v>
      </c>
      <c r="W130" s="363"/>
      <c r="Y130" s="361"/>
      <c r="Z130" s="364" t="s">
        <v>105</v>
      </c>
      <c r="AA130" s="367"/>
    </row>
    <row r="131" spans="18:28">
      <c r="R131" s="365"/>
      <c r="S131" s="361" t="s">
        <v>106</v>
      </c>
      <c r="T131" s="362"/>
      <c r="U131" s="362"/>
      <c r="V131" s="363" t="s">
        <v>107</v>
      </c>
      <c r="W131" s="363"/>
      <c r="Y131" s="361"/>
      <c r="Z131" s="364" t="s">
        <v>108</v>
      </c>
      <c r="AA131" s="367"/>
      <c r="AB131" s="365"/>
    </row>
    <row r="132" spans="18:28">
      <c r="R132" s="367"/>
      <c r="S132" s="367"/>
      <c r="T132" s="367"/>
      <c r="U132" s="367"/>
      <c r="V132" s="367"/>
      <c r="W132" s="367"/>
      <c r="X132" s="367"/>
      <c r="Y132" s="367"/>
      <c r="Z132" s="367"/>
      <c r="AA132" s="367"/>
      <c r="AB132" s="367"/>
    </row>
    <row r="133" spans="18:28">
      <c r="R133" s="367"/>
      <c r="AB133" s="367"/>
    </row>
  </sheetData>
  <mergeCells count="9">
    <mergeCell ref="A35:B35"/>
    <mergeCell ref="Q122:R122"/>
    <mergeCell ref="B3:K3"/>
    <mergeCell ref="L3:M3"/>
    <mergeCell ref="N3:O3"/>
    <mergeCell ref="A18:B18"/>
    <mergeCell ref="B20:K20"/>
    <mergeCell ref="L20:M20"/>
    <mergeCell ref="N20:O20"/>
  </mergeCells>
  <pageMargins left="0.23622047244094491" right="0.23622047244094491" top="0.74803149606299213" bottom="0.19685039370078741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U84"/>
  <sheetViews>
    <sheetView topLeftCell="A35" workbookViewId="0">
      <selection activeCell="B79" sqref="B79"/>
    </sheetView>
  </sheetViews>
  <sheetFormatPr defaultRowHeight="12.75"/>
  <cols>
    <col min="1" max="1" width="2.7109375" style="64" bestFit="1" customWidth="1"/>
    <col min="2" max="3" width="9.140625" style="64"/>
    <col min="4" max="4" width="10" style="64" customWidth="1"/>
    <col min="5" max="5" width="13" style="64" customWidth="1"/>
    <col min="6" max="6" width="13.85546875" style="64" customWidth="1"/>
    <col min="7" max="7" width="13.28515625" style="64" bestFit="1" customWidth="1"/>
    <col min="8" max="8" width="14.28515625" style="64" customWidth="1"/>
    <col min="9" max="9" width="14.7109375" style="64" customWidth="1"/>
    <col min="10" max="10" width="13.42578125" style="64" customWidth="1"/>
    <col min="11" max="11" width="12.85546875" style="64" bestFit="1" customWidth="1"/>
    <col min="12" max="12" width="9.28515625" style="64" bestFit="1" customWidth="1"/>
    <col min="13" max="13" width="11.85546875" style="64" bestFit="1" customWidth="1"/>
    <col min="14" max="14" width="2.7109375" style="64" bestFit="1" customWidth="1"/>
    <col min="15" max="15" width="40.7109375" style="64" bestFit="1" customWidth="1"/>
    <col min="16" max="16" width="12.5703125" style="64" customWidth="1"/>
    <col min="17" max="17" width="7" style="64" bestFit="1" customWidth="1"/>
    <col min="18" max="18" width="11.7109375" style="64" bestFit="1" customWidth="1"/>
    <col min="19" max="19" width="12.85546875" style="64" bestFit="1" customWidth="1"/>
    <col min="20" max="20" width="11.5703125" style="64" bestFit="1" customWidth="1"/>
    <col min="21" max="21" width="12.5703125" style="64" bestFit="1" customWidth="1"/>
    <col min="22" max="256" width="9.140625" style="64"/>
    <col min="257" max="257" width="2.7109375" style="64" bestFit="1" customWidth="1"/>
    <col min="258" max="259" width="9.140625" style="64"/>
    <col min="260" max="260" width="10" style="64" customWidth="1"/>
    <col min="261" max="261" width="13" style="64" customWidth="1"/>
    <col min="262" max="262" width="13.85546875" style="64" customWidth="1"/>
    <col min="263" max="263" width="13.28515625" style="64" bestFit="1" customWidth="1"/>
    <col min="264" max="264" width="15.140625" style="64" customWidth="1"/>
    <col min="265" max="265" width="14.7109375" style="64" customWidth="1"/>
    <col min="266" max="266" width="13.42578125" style="64" customWidth="1"/>
    <col min="267" max="267" width="12.85546875" style="64" bestFit="1" customWidth="1"/>
    <col min="268" max="268" width="9.28515625" style="64" bestFit="1" customWidth="1"/>
    <col min="269" max="269" width="11.85546875" style="64" bestFit="1" customWidth="1"/>
    <col min="270" max="270" width="2.7109375" style="64" bestFit="1" customWidth="1"/>
    <col min="271" max="271" width="40.7109375" style="64" bestFit="1" customWidth="1"/>
    <col min="272" max="272" width="12.5703125" style="64" customWidth="1"/>
    <col min="273" max="273" width="7" style="64" bestFit="1" customWidth="1"/>
    <col min="274" max="274" width="11.7109375" style="64" bestFit="1" customWidth="1"/>
    <col min="275" max="275" width="12.85546875" style="64" bestFit="1" customWidth="1"/>
    <col min="276" max="276" width="11.5703125" style="64" bestFit="1" customWidth="1"/>
    <col min="277" max="277" width="12.5703125" style="64" bestFit="1" customWidth="1"/>
    <col min="278" max="512" width="9.140625" style="64"/>
    <col min="513" max="513" width="2.7109375" style="64" bestFit="1" customWidth="1"/>
    <col min="514" max="515" width="9.140625" style="64"/>
    <col min="516" max="516" width="10" style="64" customWidth="1"/>
    <col min="517" max="517" width="13" style="64" customWidth="1"/>
    <col min="518" max="518" width="13.85546875" style="64" customWidth="1"/>
    <col min="519" max="519" width="13.28515625" style="64" bestFit="1" customWidth="1"/>
    <col min="520" max="520" width="15.140625" style="64" customWidth="1"/>
    <col min="521" max="521" width="14.7109375" style="64" customWidth="1"/>
    <col min="522" max="522" width="13.42578125" style="64" customWidth="1"/>
    <col min="523" max="523" width="12.85546875" style="64" bestFit="1" customWidth="1"/>
    <col min="524" max="524" width="9.28515625" style="64" bestFit="1" customWidth="1"/>
    <col min="525" max="525" width="11.85546875" style="64" bestFit="1" customWidth="1"/>
    <col min="526" max="526" width="2.7109375" style="64" bestFit="1" customWidth="1"/>
    <col min="527" max="527" width="40.7109375" style="64" bestFit="1" customWidth="1"/>
    <col min="528" max="528" width="12.5703125" style="64" customWidth="1"/>
    <col min="529" max="529" width="7" style="64" bestFit="1" customWidth="1"/>
    <col min="530" max="530" width="11.7109375" style="64" bestFit="1" customWidth="1"/>
    <col min="531" max="531" width="12.85546875" style="64" bestFit="1" customWidth="1"/>
    <col min="532" max="532" width="11.5703125" style="64" bestFit="1" customWidth="1"/>
    <col min="533" max="533" width="12.5703125" style="64" bestFit="1" customWidth="1"/>
    <col min="534" max="768" width="9.140625" style="64"/>
    <col min="769" max="769" width="2.7109375" style="64" bestFit="1" customWidth="1"/>
    <col min="770" max="771" width="9.140625" style="64"/>
    <col min="772" max="772" width="10" style="64" customWidth="1"/>
    <col min="773" max="773" width="13" style="64" customWidth="1"/>
    <col min="774" max="774" width="13.85546875" style="64" customWidth="1"/>
    <col min="775" max="775" width="13.28515625" style="64" bestFit="1" customWidth="1"/>
    <col min="776" max="776" width="15.140625" style="64" customWidth="1"/>
    <col min="777" max="777" width="14.7109375" style="64" customWidth="1"/>
    <col min="778" max="778" width="13.42578125" style="64" customWidth="1"/>
    <col min="779" max="779" width="12.85546875" style="64" bestFit="1" customWidth="1"/>
    <col min="780" max="780" width="9.28515625" style="64" bestFit="1" customWidth="1"/>
    <col min="781" max="781" width="11.85546875" style="64" bestFit="1" customWidth="1"/>
    <col min="782" max="782" width="2.7109375" style="64" bestFit="1" customWidth="1"/>
    <col min="783" max="783" width="40.7109375" style="64" bestFit="1" customWidth="1"/>
    <col min="784" max="784" width="12.5703125" style="64" customWidth="1"/>
    <col min="785" max="785" width="7" style="64" bestFit="1" customWidth="1"/>
    <col min="786" max="786" width="11.7109375" style="64" bestFit="1" customWidth="1"/>
    <col min="787" max="787" width="12.85546875" style="64" bestFit="1" customWidth="1"/>
    <col min="788" max="788" width="11.5703125" style="64" bestFit="1" customWidth="1"/>
    <col min="789" max="789" width="12.5703125" style="64" bestFit="1" customWidth="1"/>
    <col min="790" max="1024" width="9.140625" style="64"/>
    <col min="1025" max="1025" width="2.7109375" style="64" bestFit="1" customWidth="1"/>
    <col min="1026" max="1027" width="9.140625" style="64"/>
    <col min="1028" max="1028" width="10" style="64" customWidth="1"/>
    <col min="1029" max="1029" width="13" style="64" customWidth="1"/>
    <col min="1030" max="1030" width="13.85546875" style="64" customWidth="1"/>
    <col min="1031" max="1031" width="13.28515625" style="64" bestFit="1" customWidth="1"/>
    <col min="1032" max="1032" width="15.140625" style="64" customWidth="1"/>
    <col min="1033" max="1033" width="14.7109375" style="64" customWidth="1"/>
    <col min="1034" max="1034" width="13.42578125" style="64" customWidth="1"/>
    <col min="1035" max="1035" width="12.85546875" style="64" bestFit="1" customWidth="1"/>
    <col min="1036" max="1036" width="9.28515625" style="64" bestFit="1" customWidth="1"/>
    <col min="1037" max="1037" width="11.85546875" style="64" bestFit="1" customWidth="1"/>
    <col min="1038" max="1038" width="2.7109375" style="64" bestFit="1" customWidth="1"/>
    <col min="1039" max="1039" width="40.7109375" style="64" bestFit="1" customWidth="1"/>
    <col min="1040" max="1040" width="12.5703125" style="64" customWidth="1"/>
    <col min="1041" max="1041" width="7" style="64" bestFit="1" customWidth="1"/>
    <col min="1042" max="1042" width="11.7109375" style="64" bestFit="1" customWidth="1"/>
    <col min="1043" max="1043" width="12.85546875" style="64" bestFit="1" customWidth="1"/>
    <col min="1044" max="1044" width="11.5703125" style="64" bestFit="1" customWidth="1"/>
    <col min="1045" max="1045" width="12.5703125" style="64" bestFit="1" customWidth="1"/>
    <col min="1046" max="1280" width="9.140625" style="64"/>
    <col min="1281" max="1281" width="2.7109375" style="64" bestFit="1" customWidth="1"/>
    <col min="1282" max="1283" width="9.140625" style="64"/>
    <col min="1284" max="1284" width="10" style="64" customWidth="1"/>
    <col min="1285" max="1285" width="13" style="64" customWidth="1"/>
    <col min="1286" max="1286" width="13.85546875" style="64" customWidth="1"/>
    <col min="1287" max="1287" width="13.28515625" style="64" bestFit="1" customWidth="1"/>
    <col min="1288" max="1288" width="15.140625" style="64" customWidth="1"/>
    <col min="1289" max="1289" width="14.7109375" style="64" customWidth="1"/>
    <col min="1290" max="1290" width="13.42578125" style="64" customWidth="1"/>
    <col min="1291" max="1291" width="12.85546875" style="64" bestFit="1" customWidth="1"/>
    <col min="1292" max="1292" width="9.28515625" style="64" bestFit="1" customWidth="1"/>
    <col min="1293" max="1293" width="11.85546875" style="64" bestFit="1" customWidth="1"/>
    <col min="1294" max="1294" width="2.7109375" style="64" bestFit="1" customWidth="1"/>
    <col min="1295" max="1295" width="40.7109375" style="64" bestFit="1" customWidth="1"/>
    <col min="1296" max="1296" width="12.5703125" style="64" customWidth="1"/>
    <col min="1297" max="1297" width="7" style="64" bestFit="1" customWidth="1"/>
    <col min="1298" max="1298" width="11.7109375" style="64" bestFit="1" customWidth="1"/>
    <col min="1299" max="1299" width="12.85546875" style="64" bestFit="1" customWidth="1"/>
    <col min="1300" max="1300" width="11.5703125" style="64" bestFit="1" customWidth="1"/>
    <col min="1301" max="1301" width="12.5703125" style="64" bestFit="1" customWidth="1"/>
    <col min="1302" max="1536" width="9.140625" style="64"/>
    <col min="1537" max="1537" width="2.7109375" style="64" bestFit="1" customWidth="1"/>
    <col min="1538" max="1539" width="9.140625" style="64"/>
    <col min="1540" max="1540" width="10" style="64" customWidth="1"/>
    <col min="1541" max="1541" width="13" style="64" customWidth="1"/>
    <col min="1542" max="1542" width="13.85546875" style="64" customWidth="1"/>
    <col min="1543" max="1543" width="13.28515625" style="64" bestFit="1" customWidth="1"/>
    <col min="1544" max="1544" width="15.140625" style="64" customWidth="1"/>
    <col min="1545" max="1545" width="14.7109375" style="64" customWidth="1"/>
    <col min="1546" max="1546" width="13.42578125" style="64" customWidth="1"/>
    <col min="1547" max="1547" width="12.85546875" style="64" bestFit="1" customWidth="1"/>
    <col min="1548" max="1548" width="9.28515625" style="64" bestFit="1" customWidth="1"/>
    <col min="1549" max="1549" width="11.85546875" style="64" bestFit="1" customWidth="1"/>
    <col min="1550" max="1550" width="2.7109375" style="64" bestFit="1" customWidth="1"/>
    <col min="1551" max="1551" width="40.7109375" style="64" bestFit="1" customWidth="1"/>
    <col min="1552" max="1552" width="12.5703125" style="64" customWidth="1"/>
    <col min="1553" max="1553" width="7" style="64" bestFit="1" customWidth="1"/>
    <col min="1554" max="1554" width="11.7109375" style="64" bestFit="1" customWidth="1"/>
    <col min="1555" max="1555" width="12.85546875" style="64" bestFit="1" customWidth="1"/>
    <col min="1556" max="1556" width="11.5703125" style="64" bestFit="1" customWidth="1"/>
    <col min="1557" max="1557" width="12.5703125" style="64" bestFit="1" customWidth="1"/>
    <col min="1558" max="1792" width="9.140625" style="64"/>
    <col min="1793" max="1793" width="2.7109375" style="64" bestFit="1" customWidth="1"/>
    <col min="1794" max="1795" width="9.140625" style="64"/>
    <col min="1796" max="1796" width="10" style="64" customWidth="1"/>
    <col min="1797" max="1797" width="13" style="64" customWidth="1"/>
    <col min="1798" max="1798" width="13.85546875" style="64" customWidth="1"/>
    <col min="1799" max="1799" width="13.28515625" style="64" bestFit="1" customWidth="1"/>
    <col min="1800" max="1800" width="15.140625" style="64" customWidth="1"/>
    <col min="1801" max="1801" width="14.7109375" style="64" customWidth="1"/>
    <col min="1802" max="1802" width="13.42578125" style="64" customWidth="1"/>
    <col min="1803" max="1803" width="12.85546875" style="64" bestFit="1" customWidth="1"/>
    <col min="1804" max="1804" width="9.28515625" style="64" bestFit="1" customWidth="1"/>
    <col min="1805" max="1805" width="11.85546875" style="64" bestFit="1" customWidth="1"/>
    <col min="1806" max="1806" width="2.7109375" style="64" bestFit="1" customWidth="1"/>
    <col min="1807" max="1807" width="40.7109375" style="64" bestFit="1" customWidth="1"/>
    <col min="1808" max="1808" width="12.5703125" style="64" customWidth="1"/>
    <col min="1809" max="1809" width="7" style="64" bestFit="1" customWidth="1"/>
    <col min="1810" max="1810" width="11.7109375" style="64" bestFit="1" customWidth="1"/>
    <col min="1811" max="1811" width="12.85546875" style="64" bestFit="1" customWidth="1"/>
    <col min="1812" max="1812" width="11.5703125" style="64" bestFit="1" customWidth="1"/>
    <col min="1813" max="1813" width="12.5703125" style="64" bestFit="1" customWidth="1"/>
    <col min="1814" max="2048" width="9.140625" style="64"/>
    <col min="2049" max="2049" width="2.7109375" style="64" bestFit="1" customWidth="1"/>
    <col min="2050" max="2051" width="9.140625" style="64"/>
    <col min="2052" max="2052" width="10" style="64" customWidth="1"/>
    <col min="2053" max="2053" width="13" style="64" customWidth="1"/>
    <col min="2054" max="2054" width="13.85546875" style="64" customWidth="1"/>
    <col min="2055" max="2055" width="13.28515625" style="64" bestFit="1" customWidth="1"/>
    <col min="2056" max="2056" width="15.140625" style="64" customWidth="1"/>
    <col min="2057" max="2057" width="14.7109375" style="64" customWidth="1"/>
    <col min="2058" max="2058" width="13.42578125" style="64" customWidth="1"/>
    <col min="2059" max="2059" width="12.85546875" style="64" bestFit="1" customWidth="1"/>
    <col min="2060" max="2060" width="9.28515625" style="64" bestFit="1" customWidth="1"/>
    <col min="2061" max="2061" width="11.85546875" style="64" bestFit="1" customWidth="1"/>
    <col min="2062" max="2062" width="2.7109375" style="64" bestFit="1" customWidth="1"/>
    <col min="2063" max="2063" width="40.7109375" style="64" bestFit="1" customWidth="1"/>
    <col min="2064" max="2064" width="12.5703125" style="64" customWidth="1"/>
    <col min="2065" max="2065" width="7" style="64" bestFit="1" customWidth="1"/>
    <col min="2066" max="2066" width="11.7109375" style="64" bestFit="1" customWidth="1"/>
    <col min="2067" max="2067" width="12.85546875" style="64" bestFit="1" customWidth="1"/>
    <col min="2068" max="2068" width="11.5703125" style="64" bestFit="1" customWidth="1"/>
    <col min="2069" max="2069" width="12.5703125" style="64" bestFit="1" customWidth="1"/>
    <col min="2070" max="2304" width="9.140625" style="64"/>
    <col min="2305" max="2305" width="2.7109375" style="64" bestFit="1" customWidth="1"/>
    <col min="2306" max="2307" width="9.140625" style="64"/>
    <col min="2308" max="2308" width="10" style="64" customWidth="1"/>
    <col min="2309" max="2309" width="13" style="64" customWidth="1"/>
    <col min="2310" max="2310" width="13.85546875" style="64" customWidth="1"/>
    <col min="2311" max="2311" width="13.28515625" style="64" bestFit="1" customWidth="1"/>
    <col min="2312" max="2312" width="15.140625" style="64" customWidth="1"/>
    <col min="2313" max="2313" width="14.7109375" style="64" customWidth="1"/>
    <col min="2314" max="2314" width="13.42578125" style="64" customWidth="1"/>
    <col min="2315" max="2315" width="12.85546875" style="64" bestFit="1" customWidth="1"/>
    <col min="2316" max="2316" width="9.28515625" style="64" bestFit="1" customWidth="1"/>
    <col min="2317" max="2317" width="11.85546875" style="64" bestFit="1" customWidth="1"/>
    <col min="2318" max="2318" width="2.7109375" style="64" bestFit="1" customWidth="1"/>
    <col min="2319" max="2319" width="40.7109375" style="64" bestFit="1" customWidth="1"/>
    <col min="2320" max="2320" width="12.5703125" style="64" customWidth="1"/>
    <col min="2321" max="2321" width="7" style="64" bestFit="1" customWidth="1"/>
    <col min="2322" max="2322" width="11.7109375" style="64" bestFit="1" customWidth="1"/>
    <col min="2323" max="2323" width="12.85546875" style="64" bestFit="1" customWidth="1"/>
    <col min="2324" max="2324" width="11.5703125" style="64" bestFit="1" customWidth="1"/>
    <col min="2325" max="2325" width="12.5703125" style="64" bestFit="1" customWidth="1"/>
    <col min="2326" max="2560" width="9.140625" style="64"/>
    <col min="2561" max="2561" width="2.7109375" style="64" bestFit="1" customWidth="1"/>
    <col min="2562" max="2563" width="9.140625" style="64"/>
    <col min="2564" max="2564" width="10" style="64" customWidth="1"/>
    <col min="2565" max="2565" width="13" style="64" customWidth="1"/>
    <col min="2566" max="2566" width="13.85546875" style="64" customWidth="1"/>
    <col min="2567" max="2567" width="13.28515625" style="64" bestFit="1" customWidth="1"/>
    <col min="2568" max="2568" width="15.140625" style="64" customWidth="1"/>
    <col min="2569" max="2569" width="14.7109375" style="64" customWidth="1"/>
    <col min="2570" max="2570" width="13.42578125" style="64" customWidth="1"/>
    <col min="2571" max="2571" width="12.85546875" style="64" bestFit="1" customWidth="1"/>
    <col min="2572" max="2572" width="9.28515625" style="64" bestFit="1" customWidth="1"/>
    <col min="2573" max="2573" width="11.85546875" style="64" bestFit="1" customWidth="1"/>
    <col min="2574" max="2574" width="2.7109375" style="64" bestFit="1" customWidth="1"/>
    <col min="2575" max="2575" width="40.7109375" style="64" bestFit="1" customWidth="1"/>
    <col min="2576" max="2576" width="12.5703125" style="64" customWidth="1"/>
    <col min="2577" max="2577" width="7" style="64" bestFit="1" customWidth="1"/>
    <col min="2578" max="2578" width="11.7109375" style="64" bestFit="1" customWidth="1"/>
    <col min="2579" max="2579" width="12.85546875" style="64" bestFit="1" customWidth="1"/>
    <col min="2580" max="2580" width="11.5703125" style="64" bestFit="1" customWidth="1"/>
    <col min="2581" max="2581" width="12.5703125" style="64" bestFit="1" customWidth="1"/>
    <col min="2582" max="2816" width="9.140625" style="64"/>
    <col min="2817" max="2817" width="2.7109375" style="64" bestFit="1" customWidth="1"/>
    <col min="2818" max="2819" width="9.140625" style="64"/>
    <col min="2820" max="2820" width="10" style="64" customWidth="1"/>
    <col min="2821" max="2821" width="13" style="64" customWidth="1"/>
    <col min="2822" max="2822" width="13.85546875" style="64" customWidth="1"/>
    <col min="2823" max="2823" width="13.28515625" style="64" bestFit="1" customWidth="1"/>
    <col min="2824" max="2824" width="15.140625" style="64" customWidth="1"/>
    <col min="2825" max="2825" width="14.7109375" style="64" customWidth="1"/>
    <col min="2826" max="2826" width="13.42578125" style="64" customWidth="1"/>
    <col min="2827" max="2827" width="12.85546875" style="64" bestFit="1" customWidth="1"/>
    <col min="2828" max="2828" width="9.28515625" style="64" bestFit="1" customWidth="1"/>
    <col min="2829" max="2829" width="11.85546875" style="64" bestFit="1" customWidth="1"/>
    <col min="2830" max="2830" width="2.7109375" style="64" bestFit="1" customWidth="1"/>
    <col min="2831" max="2831" width="40.7109375" style="64" bestFit="1" customWidth="1"/>
    <col min="2832" max="2832" width="12.5703125" style="64" customWidth="1"/>
    <col min="2833" max="2833" width="7" style="64" bestFit="1" customWidth="1"/>
    <col min="2834" max="2834" width="11.7109375" style="64" bestFit="1" customWidth="1"/>
    <col min="2835" max="2835" width="12.85546875" style="64" bestFit="1" customWidth="1"/>
    <col min="2836" max="2836" width="11.5703125" style="64" bestFit="1" customWidth="1"/>
    <col min="2837" max="2837" width="12.5703125" style="64" bestFit="1" customWidth="1"/>
    <col min="2838" max="3072" width="9.140625" style="64"/>
    <col min="3073" max="3073" width="2.7109375" style="64" bestFit="1" customWidth="1"/>
    <col min="3074" max="3075" width="9.140625" style="64"/>
    <col min="3076" max="3076" width="10" style="64" customWidth="1"/>
    <col min="3077" max="3077" width="13" style="64" customWidth="1"/>
    <col min="3078" max="3078" width="13.85546875" style="64" customWidth="1"/>
    <col min="3079" max="3079" width="13.28515625" style="64" bestFit="1" customWidth="1"/>
    <col min="3080" max="3080" width="15.140625" style="64" customWidth="1"/>
    <col min="3081" max="3081" width="14.7109375" style="64" customWidth="1"/>
    <col min="3082" max="3082" width="13.42578125" style="64" customWidth="1"/>
    <col min="3083" max="3083" width="12.85546875" style="64" bestFit="1" customWidth="1"/>
    <col min="3084" max="3084" width="9.28515625" style="64" bestFit="1" customWidth="1"/>
    <col min="3085" max="3085" width="11.85546875" style="64" bestFit="1" customWidth="1"/>
    <col min="3086" max="3086" width="2.7109375" style="64" bestFit="1" customWidth="1"/>
    <col min="3087" max="3087" width="40.7109375" style="64" bestFit="1" customWidth="1"/>
    <col min="3088" max="3088" width="12.5703125" style="64" customWidth="1"/>
    <col min="3089" max="3089" width="7" style="64" bestFit="1" customWidth="1"/>
    <col min="3090" max="3090" width="11.7109375" style="64" bestFit="1" customWidth="1"/>
    <col min="3091" max="3091" width="12.85546875" style="64" bestFit="1" customWidth="1"/>
    <col min="3092" max="3092" width="11.5703125" style="64" bestFit="1" customWidth="1"/>
    <col min="3093" max="3093" width="12.5703125" style="64" bestFit="1" customWidth="1"/>
    <col min="3094" max="3328" width="9.140625" style="64"/>
    <col min="3329" max="3329" width="2.7109375" style="64" bestFit="1" customWidth="1"/>
    <col min="3330" max="3331" width="9.140625" style="64"/>
    <col min="3332" max="3332" width="10" style="64" customWidth="1"/>
    <col min="3333" max="3333" width="13" style="64" customWidth="1"/>
    <col min="3334" max="3334" width="13.85546875" style="64" customWidth="1"/>
    <col min="3335" max="3335" width="13.28515625" style="64" bestFit="1" customWidth="1"/>
    <col min="3336" max="3336" width="15.140625" style="64" customWidth="1"/>
    <col min="3337" max="3337" width="14.7109375" style="64" customWidth="1"/>
    <col min="3338" max="3338" width="13.42578125" style="64" customWidth="1"/>
    <col min="3339" max="3339" width="12.85546875" style="64" bestFit="1" customWidth="1"/>
    <col min="3340" max="3340" width="9.28515625" style="64" bestFit="1" customWidth="1"/>
    <col min="3341" max="3341" width="11.85546875" style="64" bestFit="1" customWidth="1"/>
    <col min="3342" max="3342" width="2.7109375" style="64" bestFit="1" customWidth="1"/>
    <col min="3343" max="3343" width="40.7109375" style="64" bestFit="1" customWidth="1"/>
    <col min="3344" max="3344" width="12.5703125" style="64" customWidth="1"/>
    <col min="3345" max="3345" width="7" style="64" bestFit="1" customWidth="1"/>
    <col min="3346" max="3346" width="11.7109375" style="64" bestFit="1" customWidth="1"/>
    <col min="3347" max="3347" width="12.85546875" style="64" bestFit="1" customWidth="1"/>
    <col min="3348" max="3348" width="11.5703125" style="64" bestFit="1" customWidth="1"/>
    <col min="3349" max="3349" width="12.5703125" style="64" bestFit="1" customWidth="1"/>
    <col min="3350" max="3584" width="9.140625" style="64"/>
    <col min="3585" max="3585" width="2.7109375" style="64" bestFit="1" customWidth="1"/>
    <col min="3586" max="3587" width="9.140625" style="64"/>
    <col min="3588" max="3588" width="10" style="64" customWidth="1"/>
    <col min="3589" max="3589" width="13" style="64" customWidth="1"/>
    <col min="3590" max="3590" width="13.85546875" style="64" customWidth="1"/>
    <col min="3591" max="3591" width="13.28515625" style="64" bestFit="1" customWidth="1"/>
    <col min="3592" max="3592" width="15.140625" style="64" customWidth="1"/>
    <col min="3593" max="3593" width="14.7109375" style="64" customWidth="1"/>
    <col min="3594" max="3594" width="13.42578125" style="64" customWidth="1"/>
    <col min="3595" max="3595" width="12.85546875" style="64" bestFit="1" customWidth="1"/>
    <col min="3596" max="3596" width="9.28515625" style="64" bestFit="1" customWidth="1"/>
    <col min="3597" max="3597" width="11.85546875" style="64" bestFit="1" customWidth="1"/>
    <col min="3598" max="3598" width="2.7109375" style="64" bestFit="1" customWidth="1"/>
    <col min="3599" max="3599" width="40.7109375" style="64" bestFit="1" customWidth="1"/>
    <col min="3600" max="3600" width="12.5703125" style="64" customWidth="1"/>
    <col min="3601" max="3601" width="7" style="64" bestFit="1" customWidth="1"/>
    <col min="3602" max="3602" width="11.7109375" style="64" bestFit="1" customWidth="1"/>
    <col min="3603" max="3603" width="12.85546875" style="64" bestFit="1" customWidth="1"/>
    <col min="3604" max="3604" width="11.5703125" style="64" bestFit="1" customWidth="1"/>
    <col min="3605" max="3605" width="12.5703125" style="64" bestFit="1" customWidth="1"/>
    <col min="3606" max="3840" width="9.140625" style="64"/>
    <col min="3841" max="3841" width="2.7109375" style="64" bestFit="1" customWidth="1"/>
    <col min="3842" max="3843" width="9.140625" style="64"/>
    <col min="3844" max="3844" width="10" style="64" customWidth="1"/>
    <col min="3845" max="3845" width="13" style="64" customWidth="1"/>
    <col min="3846" max="3846" width="13.85546875" style="64" customWidth="1"/>
    <col min="3847" max="3847" width="13.28515625" style="64" bestFit="1" customWidth="1"/>
    <col min="3848" max="3848" width="15.140625" style="64" customWidth="1"/>
    <col min="3849" max="3849" width="14.7109375" style="64" customWidth="1"/>
    <col min="3850" max="3850" width="13.42578125" style="64" customWidth="1"/>
    <col min="3851" max="3851" width="12.85546875" style="64" bestFit="1" customWidth="1"/>
    <col min="3852" max="3852" width="9.28515625" style="64" bestFit="1" customWidth="1"/>
    <col min="3853" max="3853" width="11.85546875" style="64" bestFit="1" customWidth="1"/>
    <col min="3854" max="3854" width="2.7109375" style="64" bestFit="1" customWidth="1"/>
    <col min="3855" max="3855" width="40.7109375" style="64" bestFit="1" customWidth="1"/>
    <col min="3856" max="3856" width="12.5703125" style="64" customWidth="1"/>
    <col min="3857" max="3857" width="7" style="64" bestFit="1" customWidth="1"/>
    <col min="3858" max="3858" width="11.7109375" style="64" bestFit="1" customWidth="1"/>
    <col min="3859" max="3859" width="12.85546875" style="64" bestFit="1" customWidth="1"/>
    <col min="3860" max="3860" width="11.5703125" style="64" bestFit="1" customWidth="1"/>
    <col min="3861" max="3861" width="12.5703125" style="64" bestFit="1" customWidth="1"/>
    <col min="3862" max="4096" width="9.140625" style="64"/>
    <col min="4097" max="4097" width="2.7109375" style="64" bestFit="1" customWidth="1"/>
    <col min="4098" max="4099" width="9.140625" style="64"/>
    <col min="4100" max="4100" width="10" style="64" customWidth="1"/>
    <col min="4101" max="4101" width="13" style="64" customWidth="1"/>
    <col min="4102" max="4102" width="13.85546875" style="64" customWidth="1"/>
    <col min="4103" max="4103" width="13.28515625" style="64" bestFit="1" customWidth="1"/>
    <col min="4104" max="4104" width="15.140625" style="64" customWidth="1"/>
    <col min="4105" max="4105" width="14.7109375" style="64" customWidth="1"/>
    <col min="4106" max="4106" width="13.42578125" style="64" customWidth="1"/>
    <col min="4107" max="4107" width="12.85546875" style="64" bestFit="1" customWidth="1"/>
    <col min="4108" max="4108" width="9.28515625" style="64" bestFit="1" customWidth="1"/>
    <col min="4109" max="4109" width="11.85546875" style="64" bestFit="1" customWidth="1"/>
    <col min="4110" max="4110" width="2.7109375" style="64" bestFit="1" customWidth="1"/>
    <col min="4111" max="4111" width="40.7109375" style="64" bestFit="1" customWidth="1"/>
    <col min="4112" max="4112" width="12.5703125" style="64" customWidth="1"/>
    <col min="4113" max="4113" width="7" style="64" bestFit="1" customWidth="1"/>
    <col min="4114" max="4114" width="11.7109375" style="64" bestFit="1" customWidth="1"/>
    <col min="4115" max="4115" width="12.85546875" style="64" bestFit="1" customWidth="1"/>
    <col min="4116" max="4116" width="11.5703125" style="64" bestFit="1" customWidth="1"/>
    <col min="4117" max="4117" width="12.5703125" style="64" bestFit="1" customWidth="1"/>
    <col min="4118" max="4352" width="9.140625" style="64"/>
    <col min="4353" max="4353" width="2.7109375" style="64" bestFit="1" customWidth="1"/>
    <col min="4354" max="4355" width="9.140625" style="64"/>
    <col min="4356" max="4356" width="10" style="64" customWidth="1"/>
    <col min="4357" max="4357" width="13" style="64" customWidth="1"/>
    <col min="4358" max="4358" width="13.85546875" style="64" customWidth="1"/>
    <col min="4359" max="4359" width="13.28515625" style="64" bestFit="1" customWidth="1"/>
    <col min="4360" max="4360" width="15.140625" style="64" customWidth="1"/>
    <col min="4361" max="4361" width="14.7109375" style="64" customWidth="1"/>
    <col min="4362" max="4362" width="13.42578125" style="64" customWidth="1"/>
    <col min="4363" max="4363" width="12.85546875" style="64" bestFit="1" customWidth="1"/>
    <col min="4364" max="4364" width="9.28515625" style="64" bestFit="1" customWidth="1"/>
    <col min="4365" max="4365" width="11.85546875" style="64" bestFit="1" customWidth="1"/>
    <col min="4366" max="4366" width="2.7109375" style="64" bestFit="1" customWidth="1"/>
    <col min="4367" max="4367" width="40.7109375" style="64" bestFit="1" customWidth="1"/>
    <col min="4368" max="4368" width="12.5703125" style="64" customWidth="1"/>
    <col min="4369" max="4369" width="7" style="64" bestFit="1" customWidth="1"/>
    <col min="4370" max="4370" width="11.7109375" style="64" bestFit="1" customWidth="1"/>
    <col min="4371" max="4371" width="12.85546875" style="64" bestFit="1" customWidth="1"/>
    <col min="4372" max="4372" width="11.5703125" style="64" bestFit="1" customWidth="1"/>
    <col min="4373" max="4373" width="12.5703125" style="64" bestFit="1" customWidth="1"/>
    <col min="4374" max="4608" width="9.140625" style="64"/>
    <col min="4609" max="4609" width="2.7109375" style="64" bestFit="1" customWidth="1"/>
    <col min="4610" max="4611" width="9.140625" style="64"/>
    <col min="4612" max="4612" width="10" style="64" customWidth="1"/>
    <col min="4613" max="4613" width="13" style="64" customWidth="1"/>
    <col min="4614" max="4614" width="13.85546875" style="64" customWidth="1"/>
    <col min="4615" max="4615" width="13.28515625" style="64" bestFit="1" customWidth="1"/>
    <col min="4616" max="4616" width="15.140625" style="64" customWidth="1"/>
    <col min="4617" max="4617" width="14.7109375" style="64" customWidth="1"/>
    <col min="4618" max="4618" width="13.42578125" style="64" customWidth="1"/>
    <col min="4619" max="4619" width="12.85546875" style="64" bestFit="1" customWidth="1"/>
    <col min="4620" max="4620" width="9.28515625" style="64" bestFit="1" customWidth="1"/>
    <col min="4621" max="4621" width="11.85546875" style="64" bestFit="1" customWidth="1"/>
    <col min="4622" max="4622" width="2.7109375" style="64" bestFit="1" customWidth="1"/>
    <col min="4623" max="4623" width="40.7109375" style="64" bestFit="1" customWidth="1"/>
    <col min="4624" max="4624" width="12.5703125" style="64" customWidth="1"/>
    <col min="4625" max="4625" width="7" style="64" bestFit="1" customWidth="1"/>
    <col min="4626" max="4626" width="11.7109375" style="64" bestFit="1" customWidth="1"/>
    <col min="4627" max="4627" width="12.85546875" style="64" bestFit="1" customWidth="1"/>
    <col min="4628" max="4628" width="11.5703125" style="64" bestFit="1" customWidth="1"/>
    <col min="4629" max="4629" width="12.5703125" style="64" bestFit="1" customWidth="1"/>
    <col min="4630" max="4864" width="9.140625" style="64"/>
    <col min="4865" max="4865" width="2.7109375" style="64" bestFit="1" customWidth="1"/>
    <col min="4866" max="4867" width="9.140625" style="64"/>
    <col min="4868" max="4868" width="10" style="64" customWidth="1"/>
    <col min="4869" max="4869" width="13" style="64" customWidth="1"/>
    <col min="4870" max="4870" width="13.85546875" style="64" customWidth="1"/>
    <col min="4871" max="4871" width="13.28515625" style="64" bestFit="1" customWidth="1"/>
    <col min="4872" max="4872" width="15.140625" style="64" customWidth="1"/>
    <col min="4873" max="4873" width="14.7109375" style="64" customWidth="1"/>
    <col min="4874" max="4874" width="13.42578125" style="64" customWidth="1"/>
    <col min="4875" max="4875" width="12.85546875" style="64" bestFit="1" customWidth="1"/>
    <col min="4876" max="4876" width="9.28515625" style="64" bestFit="1" customWidth="1"/>
    <col min="4877" max="4877" width="11.85546875" style="64" bestFit="1" customWidth="1"/>
    <col min="4878" max="4878" width="2.7109375" style="64" bestFit="1" customWidth="1"/>
    <col min="4879" max="4879" width="40.7109375" style="64" bestFit="1" customWidth="1"/>
    <col min="4880" max="4880" width="12.5703125" style="64" customWidth="1"/>
    <col min="4881" max="4881" width="7" style="64" bestFit="1" customWidth="1"/>
    <col min="4882" max="4882" width="11.7109375" style="64" bestFit="1" customWidth="1"/>
    <col min="4883" max="4883" width="12.85546875" style="64" bestFit="1" customWidth="1"/>
    <col min="4884" max="4884" width="11.5703125" style="64" bestFit="1" customWidth="1"/>
    <col min="4885" max="4885" width="12.5703125" style="64" bestFit="1" customWidth="1"/>
    <col min="4886" max="5120" width="9.140625" style="64"/>
    <col min="5121" max="5121" width="2.7109375" style="64" bestFit="1" customWidth="1"/>
    <col min="5122" max="5123" width="9.140625" style="64"/>
    <col min="5124" max="5124" width="10" style="64" customWidth="1"/>
    <col min="5125" max="5125" width="13" style="64" customWidth="1"/>
    <col min="5126" max="5126" width="13.85546875" style="64" customWidth="1"/>
    <col min="5127" max="5127" width="13.28515625" style="64" bestFit="1" customWidth="1"/>
    <col min="5128" max="5128" width="15.140625" style="64" customWidth="1"/>
    <col min="5129" max="5129" width="14.7109375" style="64" customWidth="1"/>
    <col min="5130" max="5130" width="13.42578125" style="64" customWidth="1"/>
    <col min="5131" max="5131" width="12.85546875" style="64" bestFit="1" customWidth="1"/>
    <col min="5132" max="5132" width="9.28515625" style="64" bestFit="1" customWidth="1"/>
    <col min="5133" max="5133" width="11.85546875" style="64" bestFit="1" customWidth="1"/>
    <col min="5134" max="5134" width="2.7109375" style="64" bestFit="1" customWidth="1"/>
    <col min="5135" max="5135" width="40.7109375" style="64" bestFit="1" customWidth="1"/>
    <col min="5136" max="5136" width="12.5703125" style="64" customWidth="1"/>
    <col min="5137" max="5137" width="7" style="64" bestFit="1" customWidth="1"/>
    <col min="5138" max="5138" width="11.7109375" style="64" bestFit="1" customWidth="1"/>
    <col min="5139" max="5139" width="12.85546875" style="64" bestFit="1" customWidth="1"/>
    <col min="5140" max="5140" width="11.5703125" style="64" bestFit="1" customWidth="1"/>
    <col min="5141" max="5141" width="12.5703125" style="64" bestFit="1" customWidth="1"/>
    <col min="5142" max="5376" width="9.140625" style="64"/>
    <col min="5377" max="5377" width="2.7109375" style="64" bestFit="1" customWidth="1"/>
    <col min="5378" max="5379" width="9.140625" style="64"/>
    <col min="5380" max="5380" width="10" style="64" customWidth="1"/>
    <col min="5381" max="5381" width="13" style="64" customWidth="1"/>
    <col min="5382" max="5382" width="13.85546875" style="64" customWidth="1"/>
    <col min="5383" max="5383" width="13.28515625" style="64" bestFit="1" customWidth="1"/>
    <col min="5384" max="5384" width="15.140625" style="64" customWidth="1"/>
    <col min="5385" max="5385" width="14.7109375" style="64" customWidth="1"/>
    <col min="5386" max="5386" width="13.42578125" style="64" customWidth="1"/>
    <col min="5387" max="5387" width="12.85546875" style="64" bestFit="1" customWidth="1"/>
    <col min="5388" max="5388" width="9.28515625" style="64" bestFit="1" customWidth="1"/>
    <col min="5389" max="5389" width="11.85546875" style="64" bestFit="1" customWidth="1"/>
    <col min="5390" max="5390" width="2.7109375" style="64" bestFit="1" customWidth="1"/>
    <col min="5391" max="5391" width="40.7109375" style="64" bestFit="1" customWidth="1"/>
    <col min="5392" max="5392" width="12.5703125" style="64" customWidth="1"/>
    <col min="5393" max="5393" width="7" style="64" bestFit="1" customWidth="1"/>
    <col min="5394" max="5394" width="11.7109375" style="64" bestFit="1" customWidth="1"/>
    <col min="5395" max="5395" width="12.85546875" style="64" bestFit="1" customWidth="1"/>
    <col min="5396" max="5396" width="11.5703125" style="64" bestFit="1" customWidth="1"/>
    <col min="5397" max="5397" width="12.5703125" style="64" bestFit="1" customWidth="1"/>
    <col min="5398" max="5632" width="9.140625" style="64"/>
    <col min="5633" max="5633" width="2.7109375" style="64" bestFit="1" customWidth="1"/>
    <col min="5634" max="5635" width="9.140625" style="64"/>
    <col min="5636" max="5636" width="10" style="64" customWidth="1"/>
    <col min="5637" max="5637" width="13" style="64" customWidth="1"/>
    <col min="5638" max="5638" width="13.85546875" style="64" customWidth="1"/>
    <col min="5639" max="5639" width="13.28515625" style="64" bestFit="1" customWidth="1"/>
    <col min="5640" max="5640" width="15.140625" style="64" customWidth="1"/>
    <col min="5641" max="5641" width="14.7109375" style="64" customWidth="1"/>
    <col min="5642" max="5642" width="13.42578125" style="64" customWidth="1"/>
    <col min="5643" max="5643" width="12.85546875" style="64" bestFit="1" customWidth="1"/>
    <col min="5644" max="5644" width="9.28515625" style="64" bestFit="1" customWidth="1"/>
    <col min="5645" max="5645" width="11.85546875" style="64" bestFit="1" customWidth="1"/>
    <col min="5646" max="5646" width="2.7109375" style="64" bestFit="1" customWidth="1"/>
    <col min="5647" max="5647" width="40.7109375" style="64" bestFit="1" customWidth="1"/>
    <col min="5648" max="5648" width="12.5703125" style="64" customWidth="1"/>
    <col min="5649" max="5649" width="7" style="64" bestFit="1" customWidth="1"/>
    <col min="5650" max="5650" width="11.7109375" style="64" bestFit="1" customWidth="1"/>
    <col min="5651" max="5651" width="12.85546875" style="64" bestFit="1" customWidth="1"/>
    <col min="5652" max="5652" width="11.5703125" style="64" bestFit="1" customWidth="1"/>
    <col min="5653" max="5653" width="12.5703125" style="64" bestFit="1" customWidth="1"/>
    <col min="5654" max="5888" width="9.140625" style="64"/>
    <col min="5889" max="5889" width="2.7109375" style="64" bestFit="1" customWidth="1"/>
    <col min="5890" max="5891" width="9.140625" style="64"/>
    <col min="5892" max="5892" width="10" style="64" customWidth="1"/>
    <col min="5893" max="5893" width="13" style="64" customWidth="1"/>
    <col min="5894" max="5894" width="13.85546875" style="64" customWidth="1"/>
    <col min="5895" max="5895" width="13.28515625" style="64" bestFit="1" customWidth="1"/>
    <col min="5896" max="5896" width="15.140625" style="64" customWidth="1"/>
    <col min="5897" max="5897" width="14.7109375" style="64" customWidth="1"/>
    <col min="5898" max="5898" width="13.42578125" style="64" customWidth="1"/>
    <col min="5899" max="5899" width="12.85546875" style="64" bestFit="1" customWidth="1"/>
    <col min="5900" max="5900" width="9.28515625" style="64" bestFit="1" customWidth="1"/>
    <col min="5901" max="5901" width="11.85546875" style="64" bestFit="1" customWidth="1"/>
    <col min="5902" max="5902" width="2.7109375" style="64" bestFit="1" customWidth="1"/>
    <col min="5903" max="5903" width="40.7109375" style="64" bestFit="1" customWidth="1"/>
    <col min="5904" max="5904" width="12.5703125" style="64" customWidth="1"/>
    <col min="5905" max="5905" width="7" style="64" bestFit="1" customWidth="1"/>
    <col min="5906" max="5906" width="11.7109375" style="64" bestFit="1" customWidth="1"/>
    <col min="5907" max="5907" width="12.85546875" style="64" bestFit="1" customWidth="1"/>
    <col min="5908" max="5908" width="11.5703125" style="64" bestFit="1" customWidth="1"/>
    <col min="5909" max="5909" width="12.5703125" style="64" bestFit="1" customWidth="1"/>
    <col min="5910" max="6144" width="9.140625" style="64"/>
    <col min="6145" max="6145" width="2.7109375" style="64" bestFit="1" customWidth="1"/>
    <col min="6146" max="6147" width="9.140625" style="64"/>
    <col min="6148" max="6148" width="10" style="64" customWidth="1"/>
    <col min="6149" max="6149" width="13" style="64" customWidth="1"/>
    <col min="6150" max="6150" width="13.85546875" style="64" customWidth="1"/>
    <col min="6151" max="6151" width="13.28515625" style="64" bestFit="1" customWidth="1"/>
    <col min="6152" max="6152" width="15.140625" style="64" customWidth="1"/>
    <col min="6153" max="6153" width="14.7109375" style="64" customWidth="1"/>
    <col min="6154" max="6154" width="13.42578125" style="64" customWidth="1"/>
    <col min="6155" max="6155" width="12.85546875" style="64" bestFit="1" customWidth="1"/>
    <col min="6156" max="6156" width="9.28515625" style="64" bestFit="1" customWidth="1"/>
    <col min="6157" max="6157" width="11.85546875" style="64" bestFit="1" customWidth="1"/>
    <col min="6158" max="6158" width="2.7109375" style="64" bestFit="1" customWidth="1"/>
    <col min="6159" max="6159" width="40.7109375" style="64" bestFit="1" customWidth="1"/>
    <col min="6160" max="6160" width="12.5703125" style="64" customWidth="1"/>
    <col min="6161" max="6161" width="7" style="64" bestFit="1" customWidth="1"/>
    <col min="6162" max="6162" width="11.7109375" style="64" bestFit="1" customWidth="1"/>
    <col min="6163" max="6163" width="12.85546875" style="64" bestFit="1" customWidth="1"/>
    <col min="6164" max="6164" width="11.5703125" style="64" bestFit="1" customWidth="1"/>
    <col min="6165" max="6165" width="12.5703125" style="64" bestFit="1" customWidth="1"/>
    <col min="6166" max="6400" width="9.140625" style="64"/>
    <col min="6401" max="6401" width="2.7109375" style="64" bestFit="1" customWidth="1"/>
    <col min="6402" max="6403" width="9.140625" style="64"/>
    <col min="6404" max="6404" width="10" style="64" customWidth="1"/>
    <col min="6405" max="6405" width="13" style="64" customWidth="1"/>
    <col min="6406" max="6406" width="13.85546875" style="64" customWidth="1"/>
    <col min="6407" max="6407" width="13.28515625" style="64" bestFit="1" customWidth="1"/>
    <col min="6408" max="6408" width="15.140625" style="64" customWidth="1"/>
    <col min="6409" max="6409" width="14.7109375" style="64" customWidth="1"/>
    <col min="6410" max="6410" width="13.42578125" style="64" customWidth="1"/>
    <col min="6411" max="6411" width="12.85546875" style="64" bestFit="1" customWidth="1"/>
    <col min="6412" max="6412" width="9.28515625" style="64" bestFit="1" customWidth="1"/>
    <col min="6413" max="6413" width="11.85546875" style="64" bestFit="1" customWidth="1"/>
    <col min="6414" max="6414" width="2.7109375" style="64" bestFit="1" customWidth="1"/>
    <col min="6415" max="6415" width="40.7109375" style="64" bestFit="1" customWidth="1"/>
    <col min="6416" max="6416" width="12.5703125" style="64" customWidth="1"/>
    <col min="6417" max="6417" width="7" style="64" bestFit="1" customWidth="1"/>
    <col min="6418" max="6418" width="11.7109375" style="64" bestFit="1" customWidth="1"/>
    <col min="6419" max="6419" width="12.85546875" style="64" bestFit="1" customWidth="1"/>
    <col min="6420" max="6420" width="11.5703125" style="64" bestFit="1" customWidth="1"/>
    <col min="6421" max="6421" width="12.5703125" style="64" bestFit="1" customWidth="1"/>
    <col min="6422" max="6656" width="9.140625" style="64"/>
    <col min="6657" max="6657" width="2.7109375" style="64" bestFit="1" customWidth="1"/>
    <col min="6658" max="6659" width="9.140625" style="64"/>
    <col min="6660" max="6660" width="10" style="64" customWidth="1"/>
    <col min="6661" max="6661" width="13" style="64" customWidth="1"/>
    <col min="6662" max="6662" width="13.85546875" style="64" customWidth="1"/>
    <col min="6663" max="6663" width="13.28515625" style="64" bestFit="1" customWidth="1"/>
    <col min="6664" max="6664" width="15.140625" style="64" customWidth="1"/>
    <col min="6665" max="6665" width="14.7109375" style="64" customWidth="1"/>
    <col min="6666" max="6666" width="13.42578125" style="64" customWidth="1"/>
    <col min="6667" max="6667" width="12.85546875" style="64" bestFit="1" customWidth="1"/>
    <col min="6668" max="6668" width="9.28515625" style="64" bestFit="1" customWidth="1"/>
    <col min="6669" max="6669" width="11.85546875" style="64" bestFit="1" customWidth="1"/>
    <col min="6670" max="6670" width="2.7109375" style="64" bestFit="1" customWidth="1"/>
    <col min="6671" max="6671" width="40.7109375" style="64" bestFit="1" customWidth="1"/>
    <col min="6672" max="6672" width="12.5703125" style="64" customWidth="1"/>
    <col min="6673" max="6673" width="7" style="64" bestFit="1" customWidth="1"/>
    <col min="6674" max="6674" width="11.7109375" style="64" bestFit="1" customWidth="1"/>
    <col min="6675" max="6675" width="12.85546875" style="64" bestFit="1" customWidth="1"/>
    <col min="6676" max="6676" width="11.5703125" style="64" bestFit="1" customWidth="1"/>
    <col min="6677" max="6677" width="12.5703125" style="64" bestFit="1" customWidth="1"/>
    <col min="6678" max="6912" width="9.140625" style="64"/>
    <col min="6913" max="6913" width="2.7109375" style="64" bestFit="1" customWidth="1"/>
    <col min="6914" max="6915" width="9.140625" style="64"/>
    <col min="6916" max="6916" width="10" style="64" customWidth="1"/>
    <col min="6917" max="6917" width="13" style="64" customWidth="1"/>
    <col min="6918" max="6918" width="13.85546875" style="64" customWidth="1"/>
    <col min="6919" max="6919" width="13.28515625" style="64" bestFit="1" customWidth="1"/>
    <col min="6920" max="6920" width="15.140625" style="64" customWidth="1"/>
    <col min="6921" max="6921" width="14.7109375" style="64" customWidth="1"/>
    <col min="6922" max="6922" width="13.42578125" style="64" customWidth="1"/>
    <col min="6923" max="6923" width="12.85546875" style="64" bestFit="1" customWidth="1"/>
    <col min="6924" max="6924" width="9.28515625" style="64" bestFit="1" customWidth="1"/>
    <col min="6925" max="6925" width="11.85546875" style="64" bestFit="1" customWidth="1"/>
    <col min="6926" max="6926" width="2.7109375" style="64" bestFit="1" customWidth="1"/>
    <col min="6927" max="6927" width="40.7109375" style="64" bestFit="1" customWidth="1"/>
    <col min="6928" max="6928" width="12.5703125" style="64" customWidth="1"/>
    <col min="6929" max="6929" width="7" style="64" bestFit="1" customWidth="1"/>
    <col min="6930" max="6930" width="11.7109375" style="64" bestFit="1" customWidth="1"/>
    <col min="6931" max="6931" width="12.85546875" style="64" bestFit="1" customWidth="1"/>
    <col min="6932" max="6932" width="11.5703125" style="64" bestFit="1" customWidth="1"/>
    <col min="6933" max="6933" width="12.5703125" style="64" bestFit="1" customWidth="1"/>
    <col min="6934" max="7168" width="9.140625" style="64"/>
    <col min="7169" max="7169" width="2.7109375" style="64" bestFit="1" customWidth="1"/>
    <col min="7170" max="7171" width="9.140625" style="64"/>
    <col min="7172" max="7172" width="10" style="64" customWidth="1"/>
    <col min="7173" max="7173" width="13" style="64" customWidth="1"/>
    <col min="7174" max="7174" width="13.85546875" style="64" customWidth="1"/>
    <col min="7175" max="7175" width="13.28515625" style="64" bestFit="1" customWidth="1"/>
    <col min="7176" max="7176" width="15.140625" style="64" customWidth="1"/>
    <col min="7177" max="7177" width="14.7109375" style="64" customWidth="1"/>
    <col min="7178" max="7178" width="13.42578125" style="64" customWidth="1"/>
    <col min="7179" max="7179" width="12.85546875" style="64" bestFit="1" customWidth="1"/>
    <col min="7180" max="7180" width="9.28515625" style="64" bestFit="1" customWidth="1"/>
    <col min="7181" max="7181" width="11.85546875" style="64" bestFit="1" customWidth="1"/>
    <col min="7182" max="7182" width="2.7109375" style="64" bestFit="1" customWidth="1"/>
    <col min="7183" max="7183" width="40.7109375" style="64" bestFit="1" customWidth="1"/>
    <col min="7184" max="7184" width="12.5703125" style="64" customWidth="1"/>
    <col min="7185" max="7185" width="7" style="64" bestFit="1" customWidth="1"/>
    <col min="7186" max="7186" width="11.7109375" style="64" bestFit="1" customWidth="1"/>
    <col min="7187" max="7187" width="12.85546875" style="64" bestFit="1" customWidth="1"/>
    <col min="7188" max="7188" width="11.5703125" style="64" bestFit="1" customWidth="1"/>
    <col min="7189" max="7189" width="12.5703125" style="64" bestFit="1" customWidth="1"/>
    <col min="7190" max="7424" width="9.140625" style="64"/>
    <col min="7425" max="7425" width="2.7109375" style="64" bestFit="1" customWidth="1"/>
    <col min="7426" max="7427" width="9.140625" style="64"/>
    <col min="7428" max="7428" width="10" style="64" customWidth="1"/>
    <col min="7429" max="7429" width="13" style="64" customWidth="1"/>
    <col min="7430" max="7430" width="13.85546875" style="64" customWidth="1"/>
    <col min="7431" max="7431" width="13.28515625" style="64" bestFit="1" customWidth="1"/>
    <col min="7432" max="7432" width="15.140625" style="64" customWidth="1"/>
    <col min="7433" max="7433" width="14.7109375" style="64" customWidth="1"/>
    <col min="7434" max="7434" width="13.42578125" style="64" customWidth="1"/>
    <col min="7435" max="7435" width="12.85546875" style="64" bestFit="1" customWidth="1"/>
    <col min="7436" max="7436" width="9.28515625" style="64" bestFit="1" customWidth="1"/>
    <col min="7437" max="7437" width="11.85546875" style="64" bestFit="1" customWidth="1"/>
    <col min="7438" max="7438" width="2.7109375" style="64" bestFit="1" customWidth="1"/>
    <col min="7439" max="7439" width="40.7109375" style="64" bestFit="1" customWidth="1"/>
    <col min="7440" max="7440" width="12.5703125" style="64" customWidth="1"/>
    <col min="7441" max="7441" width="7" style="64" bestFit="1" customWidth="1"/>
    <col min="7442" max="7442" width="11.7109375" style="64" bestFit="1" customWidth="1"/>
    <col min="7443" max="7443" width="12.85546875" style="64" bestFit="1" customWidth="1"/>
    <col min="7444" max="7444" width="11.5703125" style="64" bestFit="1" customWidth="1"/>
    <col min="7445" max="7445" width="12.5703125" style="64" bestFit="1" customWidth="1"/>
    <col min="7446" max="7680" width="9.140625" style="64"/>
    <col min="7681" max="7681" width="2.7109375" style="64" bestFit="1" customWidth="1"/>
    <col min="7682" max="7683" width="9.140625" style="64"/>
    <col min="7684" max="7684" width="10" style="64" customWidth="1"/>
    <col min="7685" max="7685" width="13" style="64" customWidth="1"/>
    <col min="7686" max="7686" width="13.85546875" style="64" customWidth="1"/>
    <col min="7687" max="7687" width="13.28515625" style="64" bestFit="1" customWidth="1"/>
    <col min="7688" max="7688" width="15.140625" style="64" customWidth="1"/>
    <col min="7689" max="7689" width="14.7109375" style="64" customWidth="1"/>
    <col min="7690" max="7690" width="13.42578125" style="64" customWidth="1"/>
    <col min="7691" max="7691" width="12.85546875" style="64" bestFit="1" customWidth="1"/>
    <col min="7692" max="7692" width="9.28515625" style="64" bestFit="1" customWidth="1"/>
    <col min="7693" max="7693" width="11.85546875" style="64" bestFit="1" customWidth="1"/>
    <col min="7694" max="7694" width="2.7109375" style="64" bestFit="1" customWidth="1"/>
    <col min="7695" max="7695" width="40.7109375" style="64" bestFit="1" customWidth="1"/>
    <col min="7696" max="7696" width="12.5703125" style="64" customWidth="1"/>
    <col min="7697" max="7697" width="7" style="64" bestFit="1" customWidth="1"/>
    <col min="7698" max="7698" width="11.7109375" style="64" bestFit="1" customWidth="1"/>
    <col min="7699" max="7699" width="12.85546875" style="64" bestFit="1" customWidth="1"/>
    <col min="7700" max="7700" width="11.5703125" style="64" bestFit="1" customWidth="1"/>
    <col min="7701" max="7701" width="12.5703125" style="64" bestFit="1" customWidth="1"/>
    <col min="7702" max="7936" width="9.140625" style="64"/>
    <col min="7937" max="7937" width="2.7109375" style="64" bestFit="1" customWidth="1"/>
    <col min="7938" max="7939" width="9.140625" style="64"/>
    <col min="7940" max="7940" width="10" style="64" customWidth="1"/>
    <col min="7941" max="7941" width="13" style="64" customWidth="1"/>
    <col min="7942" max="7942" width="13.85546875" style="64" customWidth="1"/>
    <col min="7943" max="7943" width="13.28515625" style="64" bestFit="1" customWidth="1"/>
    <col min="7944" max="7944" width="15.140625" style="64" customWidth="1"/>
    <col min="7945" max="7945" width="14.7109375" style="64" customWidth="1"/>
    <col min="7946" max="7946" width="13.42578125" style="64" customWidth="1"/>
    <col min="7947" max="7947" width="12.85546875" style="64" bestFit="1" customWidth="1"/>
    <col min="7948" max="7948" width="9.28515625" style="64" bestFit="1" customWidth="1"/>
    <col min="7949" max="7949" width="11.85546875" style="64" bestFit="1" customWidth="1"/>
    <col min="7950" max="7950" width="2.7109375" style="64" bestFit="1" customWidth="1"/>
    <col min="7951" max="7951" width="40.7109375" style="64" bestFit="1" customWidth="1"/>
    <col min="7952" max="7952" width="12.5703125" style="64" customWidth="1"/>
    <col min="7953" max="7953" width="7" style="64" bestFit="1" customWidth="1"/>
    <col min="7954" max="7954" width="11.7109375" style="64" bestFit="1" customWidth="1"/>
    <col min="7955" max="7955" width="12.85546875" style="64" bestFit="1" customWidth="1"/>
    <col min="7956" max="7956" width="11.5703125" style="64" bestFit="1" customWidth="1"/>
    <col min="7957" max="7957" width="12.5703125" style="64" bestFit="1" customWidth="1"/>
    <col min="7958" max="8192" width="9.140625" style="64"/>
    <col min="8193" max="8193" width="2.7109375" style="64" bestFit="1" customWidth="1"/>
    <col min="8194" max="8195" width="9.140625" style="64"/>
    <col min="8196" max="8196" width="10" style="64" customWidth="1"/>
    <col min="8197" max="8197" width="13" style="64" customWidth="1"/>
    <col min="8198" max="8198" width="13.85546875" style="64" customWidth="1"/>
    <col min="8199" max="8199" width="13.28515625" style="64" bestFit="1" customWidth="1"/>
    <col min="8200" max="8200" width="15.140625" style="64" customWidth="1"/>
    <col min="8201" max="8201" width="14.7109375" style="64" customWidth="1"/>
    <col min="8202" max="8202" width="13.42578125" style="64" customWidth="1"/>
    <col min="8203" max="8203" width="12.85546875" style="64" bestFit="1" customWidth="1"/>
    <col min="8204" max="8204" width="9.28515625" style="64" bestFit="1" customWidth="1"/>
    <col min="8205" max="8205" width="11.85546875" style="64" bestFit="1" customWidth="1"/>
    <col min="8206" max="8206" width="2.7109375" style="64" bestFit="1" customWidth="1"/>
    <col min="8207" max="8207" width="40.7109375" style="64" bestFit="1" customWidth="1"/>
    <col min="8208" max="8208" width="12.5703125" style="64" customWidth="1"/>
    <col min="8209" max="8209" width="7" style="64" bestFit="1" customWidth="1"/>
    <col min="8210" max="8210" width="11.7109375" style="64" bestFit="1" customWidth="1"/>
    <col min="8211" max="8211" width="12.85546875" style="64" bestFit="1" customWidth="1"/>
    <col min="8212" max="8212" width="11.5703125" style="64" bestFit="1" customWidth="1"/>
    <col min="8213" max="8213" width="12.5703125" style="64" bestFit="1" customWidth="1"/>
    <col min="8214" max="8448" width="9.140625" style="64"/>
    <col min="8449" max="8449" width="2.7109375" style="64" bestFit="1" customWidth="1"/>
    <col min="8450" max="8451" width="9.140625" style="64"/>
    <col min="8452" max="8452" width="10" style="64" customWidth="1"/>
    <col min="8453" max="8453" width="13" style="64" customWidth="1"/>
    <col min="8454" max="8454" width="13.85546875" style="64" customWidth="1"/>
    <col min="8455" max="8455" width="13.28515625" style="64" bestFit="1" customWidth="1"/>
    <col min="8456" max="8456" width="15.140625" style="64" customWidth="1"/>
    <col min="8457" max="8457" width="14.7109375" style="64" customWidth="1"/>
    <col min="8458" max="8458" width="13.42578125" style="64" customWidth="1"/>
    <col min="8459" max="8459" width="12.85546875" style="64" bestFit="1" customWidth="1"/>
    <col min="8460" max="8460" width="9.28515625" style="64" bestFit="1" customWidth="1"/>
    <col min="8461" max="8461" width="11.85546875" style="64" bestFit="1" customWidth="1"/>
    <col min="8462" max="8462" width="2.7109375" style="64" bestFit="1" customWidth="1"/>
    <col min="8463" max="8463" width="40.7109375" style="64" bestFit="1" customWidth="1"/>
    <col min="8464" max="8464" width="12.5703125" style="64" customWidth="1"/>
    <col min="8465" max="8465" width="7" style="64" bestFit="1" customWidth="1"/>
    <col min="8466" max="8466" width="11.7109375" style="64" bestFit="1" customWidth="1"/>
    <col min="8467" max="8467" width="12.85546875" style="64" bestFit="1" customWidth="1"/>
    <col min="8468" max="8468" width="11.5703125" style="64" bestFit="1" customWidth="1"/>
    <col min="8469" max="8469" width="12.5703125" style="64" bestFit="1" customWidth="1"/>
    <col min="8470" max="8704" width="9.140625" style="64"/>
    <col min="8705" max="8705" width="2.7109375" style="64" bestFit="1" customWidth="1"/>
    <col min="8706" max="8707" width="9.140625" style="64"/>
    <col min="8708" max="8708" width="10" style="64" customWidth="1"/>
    <col min="8709" max="8709" width="13" style="64" customWidth="1"/>
    <col min="8710" max="8710" width="13.85546875" style="64" customWidth="1"/>
    <col min="8711" max="8711" width="13.28515625" style="64" bestFit="1" customWidth="1"/>
    <col min="8712" max="8712" width="15.140625" style="64" customWidth="1"/>
    <col min="8713" max="8713" width="14.7109375" style="64" customWidth="1"/>
    <col min="8714" max="8714" width="13.42578125" style="64" customWidth="1"/>
    <col min="8715" max="8715" width="12.85546875" style="64" bestFit="1" customWidth="1"/>
    <col min="8716" max="8716" width="9.28515625" style="64" bestFit="1" customWidth="1"/>
    <col min="8717" max="8717" width="11.85546875" style="64" bestFit="1" customWidth="1"/>
    <col min="8718" max="8718" width="2.7109375" style="64" bestFit="1" customWidth="1"/>
    <col min="8719" max="8719" width="40.7109375" style="64" bestFit="1" customWidth="1"/>
    <col min="8720" max="8720" width="12.5703125" style="64" customWidth="1"/>
    <col min="8721" max="8721" width="7" style="64" bestFit="1" customWidth="1"/>
    <col min="8722" max="8722" width="11.7109375" style="64" bestFit="1" customWidth="1"/>
    <col min="8723" max="8723" width="12.85546875" style="64" bestFit="1" customWidth="1"/>
    <col min="8724" max="8724" width="11.5703125" style="64" bestFit="1" customWidth="1"/>
    <col min="8725" max="8725" width="12.5703125" style="64" bestFit="1" customWidth="1"/>
    <col min="8726" max="8960" width="9.140625" style="64"/>
    <col min="8961" max="8961" width="2.7109375" style="64" bestFit="1" customWidth="1"/>
    <col min="8962" max="8963" width="9.140625" style="64"/>
    <col min="8964" max="8964" width="10" style="64" customWidth="1"/>
    <col min="8965" max="8965" width="13" style="64" customWidth="1"/>
    <col min="8966" max="8966" width="13.85546875" style="64" customWidth="1"/>
    <col min="8967" max="8967" width="13.28515625" style="64" bestFit="1" customWidth="1"/>
    <col min="8968" max="8968" width="15.140625" style="64" customWidth="1"/>
    <col min="8969" max="8969" width="14.7109375" style="64" customWidth="1"/>
    <col min="8970" max="8970" width="13.42578125" style="64" customWidth="1"/>
    <col min="8971" max="8971" width="12.85546875" style="64" bestFit="1" customWidth="1"/>
    <col min="8972" max="8972" width="9.28515625" style="64" bestFit="1" customWidth="1"/>
    <col min="8973" max="8973" width="11.85546875" style="64" bestFit="1" customWidth="1"/>
    <col min="8974" max="8974" width="2.7109375" style="64" bestFit="1" customWidth="1"/>
    <col min="8975" max="8975" width="40.7109375" style="64" bestFit="1" customWidth="1"/>
    <col min="8976" max="8976" width="12.5703125" style="64" customWidth="1"/>
    <col min="8977" max="8977" width="7" style="64" bestFit="1" customWidth="1"/>
    <col min="8978" max="8978" width="11.7109375" style="64" bestFit="1" customWidth="1"/>
    <col min="8979" max="8979" width="12.85546875" style="64" bestFit="1" customWidth="1"/>
    <col min="8980" max="8980" width="11.5703125" style="64" bestFit="1" customWidth="1"/>
    <col min="8981" max="8981" width="12.5703125" style="64" bestFit="1" customWidth="1"/>
    <col min="8982" max="9216" width="9.140625" style="64"/>
    <col min="9217" max="9217" width="2.7109375" style="64" bestFit="1" customWidth="1"/>
    <col min="9218" max="9219" width="9.140625" style="64"/>
    <col min="9220" max="9220" width="10" style="64" customWidth="1"/>
    <col min="9221" max="9221" width="13" style="64" customWidth="1"/>
    <col min="9222" max="9222" width="13.85546875" style="64" customWidth="1"/>
    <col min="9223" max="9223" width="13.28515625" style="64" bestFit="1" customWidth="1"/>
    <col min="9224" max="9224" width="15.140625" style="64" customWidth="1"/>
    <col min="9225" max="9225" width="14.7109375" style="64" customWidth="1"/>
    <col min="9226" max="9226" width="13.42578125" style="64" customWidth="1"/>
    <col min="9227" max="9227" width="12.85546875" style="64" bestFit="1" customWidth="1"/>
    <col min="9228" max="9228" width="9.28515625" style="64" bestFit="1" customWidth="1"/>
    <col min="9229" max="9229" width="11.85546875" style="64" bestFit="1" customWidth="1"/>
    <col min="9230" max="9230" width="2.7109375" style="64" bestFit="1" customWidth="1"/>
    <col min="9231" max="9231" width="40.7109375" style="64" bestFit="1" customWidth="1"/>
    <col min="9232" max="9232" width="12.5703125" style="64" customWidth="1"/>
    <col min="9233" max="9233" width="7" style="64" bestFit="1" customWidth="1"/>
    <col min="9234" max="9234" width="11.7109375" style="64" bestFit="1" customWidth="1"/>
    <col min="9235" max="9235" width="12.85546875" style="64" bestFit="1" customWidth="1"/>
    <col min="9236" max="9236" width="11.5703125" style="64" bestFit="1" customWidth="1"/>
    <col min="9237" max="9237" width="12.5703125" style="64" bestFit="1" customWidth="1"/>
    <col min="9238" max="9472" width="9.140625" style="64"/>
    <col min="9473" max="9473" width="2.7109375" style="64" bestFit="1" customWidth="1"/>
    <col min="9474" max="9475" width="9.140625" style="64"/>
    <col min="9476" max="9476" width="10" style="64" customWidth="1"/>
    <col min="9477" max="9477" width="13" style="64" customWidth="1"/>
    <col min="9478" max="9478" width="13.85546875" style="64" customWidth="1"/>
    <col min="9479" max="9479" width="13.28515625" style="64" bestFit="1" customWidth="1"/>
    <col min="9480" max="9480" width="15.140625" style="64" customWidth="1"/>
    <col min="9481" max="9481" width="14.7109375" style="64" customWidth="1"/>
    <col min="9482" max="9482" width="13.42578125" style="64" customWidth="1"/>
    <col min="9483" max="9483" width="12.85546875" style="64" bestFit="1" customWidth="1"/>
    <col min="9484" max="9484" width="9.28515625" style="64" bestFit="1" customWidth="1"/>
    <col min="9485" max="9485" width="11.85546875" style="64" bestFit="1" customWidth="1"/>
    <col min="9486" max="9486" width="2.7109375" style="64" bestFit="1" customWidth="1"/>
    <col min="9487" max="9487" width="40.7109375" style="64" bestFit="1" customWidth="1"/>
    <col min="9488" max="9488" width="12.5703125" style="64" customWidth="1"/>
    <col min="9489" max="9489" width="7" style="64" bestFit="1" customWidth="1"/>
    <col min="9490" max="9490" width="11.7109375" style="64" bestFit="1" customWidth="1"/>
    <col min="9491" max="9491" width="12.85546875" style="64" bestFit="1" customWidth="1"/>
    <col min="9492" max="9492" width="11.5703125" style="64" bestFit="1" customWidth="1"/>
    <col min="9493" max="9493" width="12.5703125" style="64" bestFit="1" customWidth="1"/>
    <col min="9494" max="9728" width="9.140625" style="64"/>
    <col min="9729" max="9729" width="2.7109375" style="64" bestFit="1" customWidth="1"/>
    <col min="9730" max="9731" width="9.140625" style="64"/>
    <col min="9732" max="9732" width="10" style="64" customWidth="1"/>
    <col min="9733" max="9733" width="13" style="64" customWidth="1"/>
    <col min="9734" max="9734" width="13.85546875" style="64" customWidth="1"/>
    <col min="9735" max="9735" width="13.28515625" style="64" bestFit="1" customWidth="1"/>
    <col min="9736" max="9736" width="15.140625" style="64" customWidth="1"/>
    <col min="9737" max="9737" width="14.7109375" style="64" customWidth="1"/>
    <col min="9738" max="9738" width="13.42578125" style="64" customWidth="1"/>
    <col min="9739" max="9739" width="12.85546875" style="64" bestFit="1" customWidth="1"/>
    <col min="9740" max="9740" width="9.28515625" style="64" bestFit="1" customWidth="1"/>
    <col min="9741" max="9741" width="11.85546875" style="64" bestFit="1" customWidth="1"/>
    <col min="9742" max="9742" width="2.7109375" style="64" bestFit="1" customWidth="1"/>
    <col min="9743" max="9743" width="40.7109375" style="64" bestFit="1" customWidth="1"/>
    <col min="9744" max="9744" width="12.5703125" style="64" customWidth="1"/>
    <col min="9745" max="9745" width="7" style="64" bestFit="1" customWidth="1"/>
    <col min="9746" max="9746" width="11.7109375" style="64" bestFit="1" customWidth="1"/>
    <col min="9747" max="9747" width="12.85546875" style="64" bestFit="1" customWidth="1"/>
    <col min="9748" max="9748" width="11.5703125" style="64" bestFit="1" customWidth="1"/>
    <col min="9749" max="9749" width="12.5703125" style="64" bestFit="1" customWidth="1"/>
    <col min="9750" max="9984" width="9.140625" style="64"/>
    <col min="9985" max="9985" width="2.7109375" style="64" bestFit="1" customWidth="1"/>
    <col min="9986" max="9987" width="9.140625" style="64"/>
    <col min="9988" max="9988" width="10" style="64" customWidth="1"/>
    <col min="9989" max="9989" width="13" style="64" customWidth="1"/>
    <col min="9990" max="9990" width="13.85546875" style="64" customWidth="1"/>
    <col min="9991" max="9991" width="13.28515625" style="64" bestFit="1" customWidth="1"/>
    <col min="9992" max="9992" width="15.140625" style="64" customWidth="1"/>
    <col min="9993" max="9993" width="14.7109375" style="64" customWidth="1"/>
    <col min="9994" max="9994" width="13.42578125" style="64" customWidth="1"/>
    <col min="9995" max="9995" width="12.85546875" style="64" bestFit="1" customWidth="1"/>
    <col min="9996" max="9996" width="9.28515625" style="64" bestFit="1" customWidth="1"/>
    <col min="9997" max="9997" width="11.85546875" style="64" bestFit="1" customWidth="1"/>
    <col min="9998" max="9998" width="2.7109375" style="64" bestFit="1" customWidth="1"/>
    <col min="9999" max="9999" width="40.7109375" style="64" bestFit="1" customWidth="1"/>
    <col min="10000" max="10000" width="12.5703125" style="64" customWidth="1"/>
    <col min="10001" max="10001" width="7" style="64" bestFit="1" customWidth="1"/>
    <col min="10002" max="10002" width="11.7109375" style="64" bestFit="1" customWidth="1"/>
    <col min="10003" max="10003" width="12.85546875" style="64" bestFit="1" customWidth="1"/>
    <col min="10004" max="10004" width="11.5703125" style="64" bestFit="1" customWidth="1"/>
    <col min="10005" max="10005" width="12.5703125" style="64" bestFit="1" customWidth="1"/>
    <col min="10006" max="10240" width="9.140625" style="64"/>
    <col min="10241" max="10241" width="2.7109375" style="64" bestFit="1" customWidth="1"/>
    <col min="10242" max="10243" width="9.140625" style="64"/>
    <col min="10244" max="10244" width="10" style="64" customWidth="1"/>
    <col min="10245" max="10245" width="13" style="64" customWidth="1"/>
    <col min="10246" max="10246" width="13.85546875" style="64" customWidth="1"/>
    <col min="10247" max="10247" width="13.28515625" style="64" bestFit="1" customWidth="1"/>
    <col min="10248" max="10248" width="15.140625" style="64" customWidth="1"/>
    <col min="10249" max="10249" width="14.7109375" style="64" customWidth="1"/>
    <col min="10250" max="10250" width="13.42578125" style="64" customWidth="1"/>
    <col min="10251" max="10251" width="12.85546875" style="64" bestFit="1" customWidth="1"/>
    <col min="10252" max="10252" width="9.28515625" style="64" bestFit="1" customWidth="1"/>
    <col min="10253" max="10253" width="11.85546875" style="64" bestFit="1" customWidth="1"/>
    <col min="10254" max="10254" width="2.7109375" style="64" bestFit="1" customWidth="1"/>
    <col min="10255" max="10255" width="40.7109375" style="64" bestFit="1" customWidth="1"/>
    <col min="10256" max="10256" width="12.5703125" style="64" customWidth="1"/>
    <col min="10257" max="10257" width="7" style="64" bestFit="1" customWidth="1"/>
    <col min="10258" max="10258" width="11.7109375" style="64" bestFit="1" customWidth="1"/>
    <col min="10259" max="10259" width="12.85546875" style="64" bestFit="1" customWidth="1"/>
    <col min="10260" max="10260" width="11.5703125" style="64" bestFit="1" customWidth="1"/>
    <col min="10261" max="10261" width="12.5703125" style="64" bestFit="1" customWidth="1"/>
    <col min="10262" max="10496" width="9.140625" style="64"/>
    <col min="10497" max="10497" width="2.7109375" style="64" bestFit="1" customWidth="1"/>
    <col min="10498" max="10499" width="9.140625" style="64"/>
    <col min="10500" max="10500" width="10" style="64" customWidth="1"/>
    <col min="10501" max="10501" width="13" style="64" customWidth="1"/>
    <col min="10502" max="10502" width="13.85546875" style="64" customWidth="1"/>
    <col min="10503" max="10503" width="13.28515625" style="64" bestFit="1" customWidth="1"/>
    <col min="10504" max="10504" width="15.140625" style="64" customWidth="1"/>
    <col min="10505" max="10505" width="14.7109375" style="64" customWidth="1"/>
    <col min="10506" max="10506" width="13.42578125" style="64" customWidth="1"/>
    <col min="10507" max="10507" width="12.85546875" style="64" bestFit="1" customWidth="1"/>
    <col min="10508" max="10508" width="9.28515625" style="64" bestFit="1" customWidth="1"/>
    <col min="10509" max="10509" width="11.85546875" style="64" bestFit="1" customWidth="1"/>
    <col min="10510" max="10510" width="2.7109375" style="64" bestFit="1" customWidth="1"/>
    <col min="10511" max="10511" width="40.7109375" style="64" bestFit="1" customWidth="1"/>
    <col min="10512" max="10512" width="12.5703125" style="64" customWidth="1"/>
    <col min="10513" max="10513" width="7" style="64" bestFit="1" customWidth="1"/>
    <col min="10514" max="10514" width="11.7109375" style="64" bestFit="1" customWidth="1"/>
    <col min="10515" max="10515" width="12.85546875" style="64" bestFit="1" customWidth="1"/>
    <col min="10516" max="10516" width="11.5703125" style="64" bestFit="1" customWidth="1"/>
    <col min="10517" max="10517" width="12.5703125" style="64" bestFit="1" customWidth="1"/>
    <col min="10518" max="10752" width="9.140625" style="64"/>
    <col min="10753" max="10753" width="2.7109375" style="64" bestFit="1" customWidth="1"/>
    <col min="10754" max="10755" width="9.140625" style="64"/>
    <col min="10756" max="10756" width="10" style="64" customWidth="1"/>
    <col min="10757" max="10757" width="13" style="64" customWidth="1"/>
    <col min="10758" max="10758" width="13.85546875" style="64" customWidth="1"/>
    <col min="10759" max="10759" width="13.28515625" style="64" bestFit="1" customWidth="1"/>
    <col min="10760" max="10760" width="15.140625" style="64" customWidth="1"/>
    <col min="10761" max="10761" width="14.7109375" style="64" customWidth="1"/>
    <col min="10762" max="10762" width="13.42578125" style="64" customWidth="1"/>
    <col min="10763" max="10763" width="12.85546875" style="64" bestFit="1" customWidth="1"/>
    <col min="10764" max="10764" width="9.28515625" style="64" bestFit="1" customWidth="1"/>
    <col min="10765" max="10765" width="11.85546875" style="64" bestFit="1" customWidth="1"/>
    <col min="10766" max="10766" width="2.7109375" style="64" bestFit="1" customWidth="1"/>
    <col min="10767" max="10767" width="40.7109375" style="64" bestFit="1" customWidth="1"/>
    <col min="10768" max="10768" width="12.5703125" style="64" customWidth="1"/>
    <col min="10769" max="10769" width="7" style="64" bestFit="1" customWidth="1"/>
    <col min="10770" max="10770" width="11.7109375" style="64" bestFit="1" customWidth="1"/>
    <col min="10771" max="10771" width="12.85546875" style="64" bestFit="1" customWidth="1"/>
    <col min="10772" max="10772" width="11.5703125" style="64" bestFit="1" customWidth="1"/>
    <col min="10773" max="10773" width="12.5703125" style="64" bestFit="1" customWidth="1"/>
    <col min="10774" max="11008" width="9.140625" style="64"/>
    <col min="11009" max="11009" width="2.7109375" style="64" bestFit="1" customWidth="1"/>
    <col min="11010" max="11011" width="9.140625" style="64"/>
    <col min="11012" max="11012" width="10" style="64" customWidth="1"/>
    <col min="11013" max="11013" width="13" style="64" customWidth="1"/>
    <col min="11014" max="11014" width="13.85546875" style="64" customWidth="1"/>
    <col min="11015" max="11015" width="13.28515625" style="64" bestFit="1" customWidth="1"/>
    <col min="11016" max="11016" width="15.140625" style="64" customWidth="1"/>
    <col min="11017" max="11017" width="14.7109375" style="64" customWidth="1"/>
    <col min="11018" max="11018" width="13.42578125" style="64" customWidth="1"/>
    <col min="11019" max="11019" width="12.85546875" style="64" bestFit="1" customWidth="1"/>
    <col min="11020" max="11020" width="9.28515625" style="64" bestFit="1" customWidth="1"/>
    <col min="11021" max="11021" width="11.85546875" style="64" bestFit="1" customWidth="1"/>
    <col min="11022" max="11022" width="2.7109375" style="64" bestFit="1" customWidth="1"/>
    <col min="11023" max="11023" width="40.7109375" style="64" bestFit="1" customWidth="1"/>
    <col min="11024" max="11024" width="12.5703125" style="64" customWidth="1"/>
    <col min="11025" max="11025" width="7" style="64" bestFit="1" customWidth="1"/>
    <col min="11026" max="11026" width="11.7109375" style="64" bestFit="1" customWidth="1"/>
    <col min="11027" max="11027" width="12.85546875" style="64" bestFit="1" customWidth="1"/>
    <col min="11028" max="11028" width="11.5703125" style="64" bestFit="1" customWidth="1"/>
    <col min="11029" max="11029" width="12.5703125" style="64" bestFit="1" customWidth="1"/>
    <col min="11030" max="11264" width="9.140625" style="64"/>
    <col min="11265" max="11265" width="2.7109375" style="64" bestFit="1" customWidth="1"/>
    <col min="11266" max="11267" width="9.140625" style="64"/>
    <col min="11268" max="11268" width="10" style="64" customWidth="1"/>
    <col min="11269" max="11269" width="13" style="64" customWidth="1"/>
    <col min="11270" max="11270" width="13.85546875" style="64" customWidth="1"/>
    <col min="11271" max="11271" width="13.28515625" style="64" bestFit="1" customWidth="1"/>
    <col min="11272" max="11272" width="15.140625" style="64" customWidth="1"/>
    <col min="11273" max="11273" width="14.7109375" style="64" customWidth="1"/>
    <col min="11274" max="11274" width="13.42578125" style="64" customWidth="1"/>
    <col min="11275" max="11275" width="12.85546875" style="64" bestFit="1" customWidth="1"/>
    <col min="11276" max="11276" width="9.28515625" style="64" bestFit="1" customWidth="1"/>
    <col min="11277" max="11277" width="11.85546875" style="64" bestFit="1" customWidth="1"/>
    <col min="11278" max="11278" width="2.7109375" style="64" bestFit="1" customWidth="1"/>
    <col min="11279" max="11279" width="40.7109375" style="64" bestFit="1" customWidth="1"/>
    <col min="11280" max="11280" width="12.5703125" style="64" customWidth="1"/>
    <col min="11281" max="11281" width="7" style="64" bestFit="1" customWidth="1"/>
    <col min="11282" max="11282" width="11.7109375" style="64" bestFit="1" customWidth="1"/>
    <col min="11283" max="11283" width="12.85546875" style="64" bestFit="1" customWidth="1"/>
    <col min="11284" max="11284" width="11.5703125" style="64" bestFit="1" customWidth="1"/>
    <col min="11285" max="11285" width="12.5703125" style="64" bestFit="1" customWidth="1"/>
    <col min="11286" max="11520" width="9.140625" style="64"/>
    <col min="11521" max="11521" width="2.7109375" style="64" bestFit="1" customWidth="1"/>
    <col min="11522" max="11523" width="9.140625" style="64"/>
    <col min="11524" max="11524" width="10" style="64" customWidth="1"/>
    <col min="11525" max="11525" width="13" style="64" customWidth="1"/>
    <col min="11526" max="11526" width="13.85546875" style="64" customWidth="1"/>
    <col min="11527" max="11527" width="13.28515625" style="64" bestFit="1" customWidth="1"/>
    <col min="11528" max="11528" width="15.140625" style="64" customWidth="1"/>
    <col min="11529" max="11529" width="14.7109375" style="64" customWidth="1"/>
    <col min="11530" max="11530" width="13.42578125" style="64" customWidth="1"/>
    <col min="11531" max="11531" width="12.85546875" style="64" bestFit="1" customWidth="1"/>
    <col min="11532" max="11532" width="9.28515625" style="64" bestFit="1" customWidth="1"/>
    <col min="11533" max="11533" width="11.85546875" style="64" bestFit="1" customWidth="1"/>
    <col min="11534" max="11534" width="2.7109375" style="64" bestFit="1" customWidth="1"/>
    <col min="11535" max="11535" width="40.7109375" style="64" bestFit="1" customWidth="1"/>
    <col min="11536" max="11536" width="12.5703125" style="64" customWidth="1"/>
    <col min="11537" max="11537" width="7" style="64" bestFit="1" customWidth="1"/>
    <col min="11538" max="11538" width="11.7109375" style="64" bestFit="1" customWidth="1"/>
    <col min="11539" max="11539" width="12.85546875" style="64" bestFit="1" customWidth="1"/>
    <col min="11540" max="11540" width="11.5703125" style="64" bestFit="1" customWidth="1"/>
    <col min="11541" max="11541" width="12.5703125" style="64" bestFit="1" customWidth="1"/>
    <col min="11542" max="11776" width="9.140625" style="64"/>
    <col min="11777" max="11777" width="2.7109375" style="64" bestFit="1" customWidth="1"/>
    <col min="11778" max="11779" width="9.140625" style="64"/>
    <col min="11780" max="11780" width="10" style="64" customWidth="1"/>
    <col min="11781" max="11781" width="13" style="64" customWidth="1"/>
    <col min="11782" max="11782" width="13.85546875" style="64" customWidth="1"/>
    <col min="11783" max="11783" width="13.28515625" style="64" bestFit="1" customWidth="1"/>
    <col min="11784" max="11784" width="15.140625" style="64" customWidth="1"/>
    <col min="11785" max="11785" width="14.7109375" style="64" customWidth="1"/>
    <col min="11786" max="11786" width="13.42578125" style="64" customWidth="1"/>
    <col min="11787" max="11787" width="12.85546875" style="64" bestFit="1" customWidth="1"/>
    <col min="11788" max="11788" width="9.28515625" style="64" bestFit="1" customWidth="1"/>
    <col min="11789" max="11789" width="11.85546875" style="64" bestFit="1" customWidth="1"/>
    <col min="11790" max="11790" width="2.7109375" style="64" bestFit="1" customWidth="1"/>
    <col min="11791" max="11791" width="40.7109375" style="64" bestFit="1" customWidth="1"/>
    <col min="11792" max="11792" width="12.5703125" style="64" customWidth="1"/>
    <col min="11793" max="11793" width="7" style="64" bestFit="1" customWidth="1"/>
    <col min="11794" max="11794" width="11.7109375" style="64" bestFit="1" customWidth="1"/>
    <col min="11795" max="11795" width="12.85546875" style="64" bestFit="1" customWidth="1"/>
    <col min="11796" max="11796" width="11.5703125" style="64" bestFit="1" customWidth="1"/>
    <col min="11797" max="11797" width="12.5703125" style="64" bestFit="1" customWidth="1"/>
    <col min="11798" max="12032" width="9.140625" style="64"/>
    <col min="12033" max="12033" width="2.7109375" style="64" bestFit="1" customWidth="1"/>
    <col min="12034" max="12035" width="9.140625" style="64"/>
    <col min="12036" max="12036" width="10" style="64" customWidth="1"/>
    <col min="12037" max="12037" width="13" style="64" customWidth="1"/>
    <col min="12038" max="12038" width="13.85546875" style="64" customWidth="1"/>
    <col min="12039" max="12039" width="13.28515625" style="64" bestFit="1" customWidth="1"/>
    <col min="12040" max="12040" width="15.140625" style="64" customWidth="1"/>
    <col min="12041" max="12041" width="14.7109375" style="64" customWidth="1"/>
    <col min="12042" max="12042" width="13.42578125" style="64" customWidth="1"/>
    <col min="12043" max="12043" width="12.85546875" style="64" bestFit="1" customWidth="1"/>
    <col min="12044" max="12044" width="9.28515625" style="64" bestFit="1" customWidth="1"/>
    <col min="12045" max="12045" width="11.85546875" style="64" bestFit="1" customWidth="1"/>
    <col min="12046" max="12046" width="2.7109375" style="64" bestFit="1" customWidth="1"/>
    <col min="12047" max="12047" width="40.7109375" style="64" bestFit="1" customWidth="1"/>
    <col min="12048" max="12048" width="12.5703125" style="64" customWidth="1"/>
    <col min="12049" max="12049" width="7" style="64" bestFit="1" customWidth="1"/>
    <col min="12050" max="12050" width="11.7109375" style="64" bestFit="1" customWidth="1"/>
    <col min="12051" max="12051" width="12.85546875" style="64" bestFit="1" customWidth="1"/>
    <col min="12052" max="12052" width="11.5703125" style="64" bestFit="1" customWidth="1"/>
    <col min="12053" max="12053" width="12.5703125" style="64" bestFit="1" customWidth="1"/>
    <col min="12054" max="12288" width="9.140625" style="64"/>
    <col min="12289" max="12289" width="2.7109375" style="64" bestFit="1" customWidth="1"/>
    <col min="12290" max="12291" width="9.140625" style="64"/>
    <col min="12292" max="12292" width="10" style="64" customWidth="1"/>
    <col min="12293" max="12293" width="13" style="64" customWidth="1"/>
    <col min="12294" max="12294" width="13.85546875" style="64" customWidth="1"/>
    <col min="12295" max="12295" width="13.28515625" style="64" bestFit="1" customWidth="1"/>
    <col min="12296" max="12296" width="15.140625" style="64" customWidth="1"/>
    <col min="12297" max="12297" width="14.7109375" style="64" customWidth="1"/>
    <col min="12298" max="12298" width="13.42578125" style="64" customWidth="1"/>
    <col min="12299" max="12299" width="12.85546875" style="64" bestFit="1" customWidth="1"/>
    <col min="12300" max="12300" width="9.28515625" style="64" bestFit="1" customWidth="1"/>
    <col min="12301" max="12301" width="11.85546875" style="64" bestFit="1" customWidth="1"/>
    <col min="12302" max="12302" width="2.7109375" style="64" bestFit="1" customWidth="1"/>
    <col min="12303" max="12303" width="40.7109375" style="64" bestFit="1" customWidth="1"/>
    <col min="12304" max="12304" width="12.5703125" style="64" customWidth="1"/>
    <col min="12305" max="12305" width="7" style="64" bestFit="1" customWidth="1"/>
    <col min="12306" max="12306" width="11.7109375" style="64" bestFit="1" customWidth="1"/>
    <col min="12307" max="12307" width="12.85546875" style="64" bestFit="1" customWidth="1"/>
    <col min="12308" max="12308" width="11.5703125" style="64" bestFit="1" customWidth="1"/>
    <col min="12309" max="12309" width="12.5703125" style="64" bestFit="1" customWidth="1"/>
    <col min="12310" max="12544" width="9.140625" style="64"/>
    <col min="12545" max="12545" width="2.7109375" style="64" bestFit="1" customWidth="1"/>
    <col min="12546" max="12547" width="9.140625" style="64"/>
    <col min="12548" max="12548" width="10" style="64" customWidth="1"/>
    <col min="12549" max="12549" width="13" style="64" customWidth="1"/>
    <col min="12550" max="12550" width="13.85546875" style="64" customWidth="1"/>
    <col min="12551" max="12551" width="13.28515625" style="64" bestFit="1" customWidth="1"/>
    <col min="12552" max="12552" width="15.140625" style="64" customWidth="1"/>
    <col min="12553" max="12553" width="14.7109375" style="64" customWidth="1"/>
    <col min="12554" max="12554" width="13.42578125" style="64" customWidth="1"/>
    <col min="12555" max="12555" width="12.85546875" style="64" bestFit="1" customWidth="1"/>
    <col min="12556" max="12556" width="9.28515625" style="64" bestFit="1" customWidth="1"/>
    <col min="12557" max="12557" width="11.85546875" style="64" bestFit="1" customWidth="1"/>
    <col min="12558" max="12558" width="2.7109375" style="64" bestFit="1" customWidth="1"/>
    <col min="12559" max="12559" width="40.7109375" style="64" bestFit="1" customWidth="1"/>
    <col min="12560" max="12560" width="12.5703125" style="64" customWidth="1"/>
    <col min="12561" max="12561" width="7" style="64" bestFit="1" customWidth="1"/>
    <col min="12562" max="12562" width="11.7109375" style="64" bestFit="1" customWidth="1"/>
    <col min="12563" max="12563" width="12.85546875" style="64" bestFit="1" customWidth="1"/>
    <col min="12564" max="12564" width="11.5703125" style="64" bestFit="1" customWidth="1"/>
    <col min="12565" max="12565" width="12.5703125" style="64" bestFit="1" customWidth="1"/>
    <col min="12566" max="12800" width="9.140625" style="64"/>
    <col min="12801" max="12801" width="2.7109375" style="64" bestFit="1" customWidth="1"/>
    <col min="12802" max="12803" width="9.140625" style="64"/>
    <col min="12804" max="12804" width="10" style="64" customWidth="1"/>
    <col min="12805" max="12805" width="13" style="64" customWidth="1"/>
    <col min="12806" max="12806" width="13.85546875" style="64" customWidth="1"/>
    <col min="12807" max="12807" width="13.28515625" style="64" bestFit="1" customWidth="1"/>
    <col min="12808" max="12808" width="15.140625" style="64" customWidth="1"/>
    <col min="12809" max="12809" width="14.7109375" style="64" customWidth="1"/>
    <col min="12810" max="12810" width="13.42578125" style="64" customWidth="1"/>
    <col min="12811" max="12811" width="12.85546875" style="64" bestFit="1" customWidth="1"/>
    <col min="12812" max="12812" width="9.28515625" style="64" bestFit="1" customWidth="1"/>
    <col min="12813" max="12813" width="11.85546875" style="64" bestFit="1" customWidth="1"/>
    <col min="12814" max="12814" width="2.7109375" style="64" bestFit="1" customWidth="1"/>
    <col min="12815" max="12815" width="40.7109375" style="64" bestFit="1" customWidth="1"/>
    <col min="12816" max="12816" width="12.5703125" style="64" customWidth="1"/>
    <col min="12817" max="12817" width="7" style="64" bestFit="1" customWidth="1"/>
    <col min="12818" max="12818" width="11.7109375" style="64" bestFit="1" customWidth="1"/>
    <col min="12819" max="12819" width="12.85546875" style="64" bestFit="1" customWidth="1"/>
    <col min="12820" max="12820" width="11.5703125" style="64" bestFit="1" customWidth="1"/>
    <col min="12821" max="12821" width="12.5703125" style="64" bestFit="1" customWidth="1"/>
    <col min="12822" max="13056" width="9.140625" style="64"/>
    <col min="13057" max="13057" width="2.7109375" style="64" bestFit="1" customWidth="1"/>
    <col min="13058" max="13059" width="9.140625" style="64"/>
    <col min="13060" max="13060" width="10" style="64" customWidth="1"/>
    <col min="13061" max="13061" width="13" style="64" customWidth="1"/>
    <col min="13062" max="13062" width="13.85546875" style="64" customWidth="1"/>
    <col min="13063" max="13063" width="13.28515625" style="64" bestFit="1" customWidth="1"/>
    <col min="13064" max="13064" width="15.140625" style="64" customWidth="1"/>
    <col min="13065" max="13065" width="14.7109375" style="64" customWidth="1"/>
    <col min="13066" max="13066" width="13.42578125" style="64" customWidth="1"/>
    <col min="13067" max="13067" width="12.85546875" style="64" bestFit="1" customWidth="1"/>
    <col min="13068" max="13068" width="9.28515625" style="64" bestFit="1" customWidth="1"/>
    <col min="13069" max="13069" width="11.85546875" style="64" bestFit="1" customWidth="1"/>
    <col min="13070" max="13070" width="2.7109375" style="64" bestFit="1" customWidth="1"/>
    <col min="13071" max="13071" width="40.7109375" style="64" bestFit="1" customWidth="1"/>
    <col min="13072" max="13072" width="12.5703125" style="64" customWidth="1"/>
    <col min="13073" max="13073" width="7" style="64" bestFit="1" customWidth="1"/>
    <col min="13074" max="13074" width="11.7109375" style="64" bestFit="1" customWidth="1"/>
    <col min="13075" max="13075" width="12.85546875" style="64" bestFit="1" customWidth="1"/>
    <col min="13076" max="13076" width="11.5703125" style="64" bestFit="1" customWidth="1"/>
    <col min="13077" max="13077" width="12.5703125" style="64" bestFit="1" customWidth="1"/>
    <col min="13078" max="13312" width="9.140625" style="64"/>
    <col min="13313" max="13313" width="2.7109375" style="64" bestFit="1" customWidth="1"/>
    <col min="13314" max="13315" width="9.140625" style="64"/>
    <col min="13316" max="13316" width="10" style="64" customWidth="1"/>
    <col min="13317" max="13317" width="13" style="64" customWidth="1"/>
    <col min="13318" max="13318" width="13.85546875" style="64" customWidth="1"/>
    <col min="13319" max="13319" width="13.28515625" style="64" bestFit="1" customWidth="1"/>
    <col min="13320" max="13320" width="15.140625" style="64" customWidth="1"/>
    <col min="13321" max="13321" width="14.7109375" style="64" customWidth="1"/>
    <col min="13322" max="13322" width="13.42578125" style="64" customWidth="1"/>
    <col min="13323" max="13323" width="12.85546875" style="64" bestFit="1" customWidth="1"/>
    <col min="13324" max="13324" width="9.28515625" style="64" bestFit="1" customWidth="1"/>
    <col min="13325" max="13325" width="11.85546875" style="64" bestFit="1" customWidth="1"/>
    <col min="13326" max="13326" width="2.7109375" style="64" bestFit="1" customWidth="1"/>
    <col min="13327" max="13327" width="40.7109375" style="64" bestFit="1" customWidth="1"/>
    <col min="13328" max="13328" width="12.5703125" style="64" customWidth="1"/>
    <col min="13329" max="13329" width="7" style="64" bestFit="1" customWidth="1"/>
    <col min="13330" max="13330" width="11.7109375" style="64" bestFit="1" customWidth="1"/>
    <col min="13331" max="13331" width="12.85546875" style="64" bestFit="1" customWidth="1"/>
    <col min="13332" max="13332" width="11.5703125" style="64" bestFit="1" customWidth="1"/>
    <col min="13333" max="13333" width="12.5703125" style="64" bestFit="1" customWidth="1"/>
    <col min="13334" max="13568" width="9.140625" style="64"/>
    <col min="13569" max="13569" width="2.7109375" style="64" bestFit="1" customWidth="1"/>
    <col min="13570" max="13571" width="9.140625" style="64"/>
    <col min="13572" max="13572" width="10" style="64" customWidth="1"/>
    <col min="13573" max="13573" width="13" style="64" customWidth="1"/>
    <col min="13574" max="13574" width="13.85546875" style="64" customWidth="1"/>
    <col min="13575" max="13575" width="13.28515625" style="64" bestFit="1" customWidth="1"/>
    <col min="13576" max="13576" width="15.140625" style="64" customWidth="1"/>
    <col min="13577" max="13577" width="14.7109375" style="64" customWidth="1"/>
    <col min="13578" max="13578" width="13.42578125" style="64" customWidth="1"/>
    <col min="13579" max="13579" width="12.85546875" style="64" bestFit="1" customWidth="1"/>
    <col min="13580" max="13580" width="9.28515625" style="64" bestFit="1" customWidth="1"/>
    <col min="13581" max="13581" width="11.85546875" style="64" bestFit="1" customWidth="1"/>
    <col min="13582" max="13582" width="2.7109375" style="64" bestFit="1" customWidth="1"/>
    <col min="13583" max="13583" width="40.7109375" style="64" bestFit="1" customWidth="1"/>
    <col min="13584" max="13584" width="12.5703125" style="64" customWidth="1"/>
    <col min="13585" max="13585" width="7" style="64" bestFit="1" customWidth="1"/>
    <col min="13586" max="13586" width="11.7109375" style="64" bestFit="1" customWidth="1"/>
    <col min="13587" max="13587" width="12.85546875" style="64" bestFit="1" customWidth="1"/>
    <col min="13588" max="13588" width="11.5703125" style="64" bestFit="1" customWidth="1"/>
    <col min="13589" max="13589" width="12.5703125" style="64" bestFit="1" customWidth="1"/>
    <col min="13590" max="13824" width="9.140625" style="64"/>
    <col min="13825" max="13825" width="2.7109375" style="64" bestFit="1" customWidth="1"/>
    <col min="13826" max="13827" width="9.140625" style="64"/>
    <col min="13828" max="13828" width="10" style="64" customWidth="1"/>
    <col min="13829" max="13829" width="13" style="64" customWidth="1"/>
    <col min="13830" max="13830" width="13.85546875" style="64" customWidth="1"/>
    <col min="13831" max="13831" width="13.28515625" style="64" bestFit="1" customWidth="1"/>
    <col min="13832" max="13832" width="15.140625" style="64" customWidth="1"/>
    <col min="13833" max="13833" width="14.7109375" style="64" customWidth="1"/>
    <col min="13834" max="13834" width="13.42578125" style="64" customWidth="1"/>
    <col min="13835" max="13835" width="12.85546875" style="64" bestFit="1" customWidth="1"/>
    <col min="13836" max="13836" width="9.28515625" style="64" bestFit="1" customWidth="1"/>
    <col min="13837" max="13837" width="11.85546875" style="64" bestFit="1" customWidth="1"/>
    <col min="13838" max="13838" width="2.7109375" style="64" bestFit="1" customWidth="1"/>
    <col min="13839" max="13839" width="40.7109375" style="64" bestFit="1" customWidth="1"/>
    <col min="13840" max="13840" width="12.5703125" style="64" customWidth="1"/>
    <col min="13841" max="13841" width="7" style="64" bestFit="1" customWidth="1"/>
    <col min="13842" max="13842" width="11.7109375" style="64" bestFit="1" customWidth="1"/>
    <col min="13843" max="13843" width="12.85546875" style="64" bestFit="1" customWidth="1"/>
    <col min="13844" max="13844" width="11.5703125" style="64" bestFit="1" customWidth="1"/>
    <col min="13845" max="13845" width="12.5703125" style="64" bestFit="1" customWidth="1"/>
    <col min="13846" max="14080" width="9.140625" style="64"/>
    <col min="14081" max="14081" width="2.7109375" style="64" bestFit="1" customWidth="1"/>
    <col min="14082" max="14083" width="9.140625" style="64"/>
    <col min="14084" max="14084" width="10" style="64" customWidth="1"/>
    <col min="14085" max="14085" width="13" style="64" customWidth="1"/>
    <col min="14086" max="14086" width="13.85546875" style="64" customWidth="1"/>
    <col min="14087" max="14087" width="13.28515625" style="64" bestFit="1" customWidth="1"/>
    <col min="14088" max="14088" width="15.140625" style="64" customWidth="1"/>
    <col min="14089" max="14089" width="14.7109375" style="64" customWidth="1"/>
    <col min="14090" max="14090" width="13.42578125" style="64" customWidth="1"/>
    <col min="14091" max="14091" width="12.85546875" style="64" bestFit="1" customWidth="1"/>
    <col min="14092" max="14092" width="9.28515625" style="64" bestFit="1" customWidth="1"/>
    <col min="14093" max="14093" width="11.85546875" style="64" bestFit="1" customWidth="1"/>
    <col min="14094" max="14094" width="2.7109375" style="64" bestFit="1" customWidth="1"/>
    <col min="14095" max="14095" width="40.7109375" style="64" bestFit="1" customWidth="1"/>
    <col min="14096" max="14096" width="12.5703125" style="64" customWidth="1"/>
    <col min="14097" max="14097" width="7" style="64" bestFit="1" customWidth="1"/>
    <col min="14098" max="14098" width="11.7109375" style="64" bestFit="1" customWidth="1"/>
    <col min="14099" max="14099" width="12.85546875" style="64" bestFit="1" customWidth="1"/>
    <col min="14100" max="14100" width="11.5703125" style="64" bestFit="1" customWidth="1"/>
    <col min="14101" max="14101" width="12.5703125" style="64" bestFit="1" customWidth="1"/>
    <col min="14102" max="14336" width="9.140625" style="64"/>
    <col min="14337" max="14337" width="2.7109375" style="64" bestFit="1" customWidth="1"/>
    <col min="14338" max="14339" width="9.140625" style="64"/>
    <col min="14340" max="14340" width="10" style="64" customWidth="1"/>
    <col min="14341" max="14341" width="13" style="64" customWidth="1"/>
    <col min="14342" max="14342" width="13.85546875" style="64" customWidth="1"/>
    <col min="14343" max="14343" width="13.28515625" style="64" bestFit="1" customWidth="1"/>
    <col min="14344" max="14344" width="15.140625" style="64" customWidth="1"/>
    <col min="14345" max="14345" width="14.7109375" style="64" customWidth="1"/>
    <col min="14346" max="14346" width="13.42578125" style="64" customWidth="1"/>
    <col min="14347" max="14347" width="12.85546875" style="64" bestFit="1" customWidth="1"/>
    <col min="14348" max="14348" width="9.28515625" style="64" bestFit="1" customWidth="1"/>
    <col min="14349" max="14349" width="11.85546875" style="64" bestFit="1" customWidth="1"/>
    <col min="14350" max="14350" width="2.7109375" style="64" bestFit="1" customWidth="1"/>
    <col min="14351" max="14351" width="40.7109375" style="64" bestFit="1" customWidth="1"/>
    <col min="14352" max="14352" width="12.5703125" style="64" customWidth="1"/>
    <col min="14353" max="14353" width="7" style="64" bestFit="1" customWidth="1"/>
    <col min="14354" max="14354" width="11.7109375" style="64" bestFit="1" customWidth="1"/>
    <col min="14355" max="14355" width="12.85546875" style="64" bestFit="1" customWidth="1"/>
    <col min="14356" max="14356" width="11.5703125" style="64" bestFit="1" customWidth="1"/>
    <col min="14357" max="14357" width="12.5703125" style="64" bestFit="1" customWidth="1"/>
    <col min="14358" max="14592" width="9.140625" style="64"/>
    <col min="14593" max="14593" width="2.7109375" style="64" bestFit="1" customWidth="1"/>
    <col min="14594" max="14595" width="9.140625" style="64"/>
    <col min="14596" max="14596" width="10" style="64" customWidth="1"/>
    <col min="14597" max="14597" width="13" style="64" customWidth="1"/>
    <col min="14598" max="14598" width="13.85546875" style="64" customWidth="1"/>
    <col min="14599" max="14599" width="13.28515625" style="64" bestFit="1" customWidth="1"/>
    <col min="14600" max="14600" width="15.140625" style="64" customWidth="1"/>
    <col min="14601" max="14601" width="14.7109375" style="64" customWidth="1"/>
    <col min="14602" max="14602" width="13.42578125" style="64" customWidth="1"/>
    <col min="14603" max="14603" width="12.85546875" style="64" bestFit="1" customWidth="1"/>
    <col min="14604" max="14604" width="9.28515625" style="64" bestFit="1" customWidth="1"/>
    <col min="14605" max="14605" width="11.85546875" style="64" bestFit="1" customWidth="1"/>
    <col min="14606" max="14606" width="2.7109375" style="64" bestFit="1" customWidth="1"/>
    <col min="14607" max="14607" width="40.7109375" style="64" bestFit="1" customWidth="1"/>
    <col min="14608" max="14608" width="12.5703125" style="64" customWidth="1"/>
    <col min="14609" max="14609" width="7" style="64" bestFit="1" customWidth="1"/>
    <col min="14610" max="14610" width="11.7109375" style="64" bestFit="1" customWidth="1"/>
    <col min="14611" max="14611" width="12.85546875" style="64" bestFit="1" customWidth="1"/>
    <col min="14612" max="14612" width="11.5703125" style="64" bestFit="1" customWidth="1"/>
    <col min="14613" max="14613" width="12.5703125" style="64" bestFit="1" customWidth="1"/>
    <col min="14614" max="14848" width="9.140625" style="64"/>
    <col min="14849" max="14849" width="2.7109375" style="64" bestFit="1" customWidth="1"/>
    <col min="14850" max="14851" width="9.140625" style="64"/>
    <col min="14852" max="14852" width="10" style="64" customWidth="1"/>
    <col min="14853" max="14853" width="13" style="64" customWidth="1"/>
    <col min="14854" max="14854" width="13.85546875" style="64" customWidth="1"/>
    <col min="14855" max="14855" width="13.28515625" style="64" bestFit="1" customWidth="1"/>
    <col min="14856" max="14856" width="15.140625" style="64" customWidth="1"/>
    <col min="14857" max="14857" width="14.7109375" style="64" customWidth="1"/>
    <col min="14858" max="14858" width="13.42578125" style="64" customWidth="1"/>
    <col min="14859" max="14859" width="12.85546875" style="64" bestFit="1" customWidth="1"/>
    <col min="14860" max="14860" width="9.28515625" style="64" bestFit="1" customWidth="1"/>
    <col min="14861" max="14861" width="11.85546875" style="64" bestFit="1" customWidth="1"/>
    <col min="14862" max="14862" width="2.7109375" style="64" bestFit="1" customWidth="1"/>
    <col min="14863" max="14863" width="40.7109375" style="64" bestFit="1" customWidth="1"/>
    <col min="14864" max="14864" width="12.5703125" style="64" customWidth="1"/>
    <col min="14865" max="14865" width="7" style="64" bestFit="1" customWidth="1"/>
    <col min="14866" max="14866" width="11.7109375" style="64" bestFit="1" customWidth="1"/>
    <col min="14867" max="14867" width="12.85546875" style="64" bestFit="1" customWidth="1"/>
    <col min="14868" max="14868" width="11.5703125" style="64" bestFit="1" customWidth="1"/>
    <col min="14869" max="14869" width="12.5703125" style="64" bestFit="1" customWidth="1"/>
    <col min="14870" max="15104" width="9.140625" style="64"/>
    <col min="15105" max="15105" width="2.7109375" style="64" bestFit="1" customWidth="1"/>
    <col min="15106" max="15107" width="9.140625" style="64"/>
    <col min="15108" max="15108" width="10" style="64" customWidth="1"/>
    <col min="15109" max="15109" width="13" style="64" customWidth="1"/>
    <col min="15110" max="15110" width="13.85546875" style="64" customWidth="1"/>
    <col min="15111" max="15111" width="13.28515625" style="64" bestFit="1" customWidth="1"/>
    <col min="15112" max="15112" width="15.140625" style="64" customWidth="1"/>
    <col min="15113" max="15113" width="14.7109375" style="64" customWidth="1"/>
    <col min="15114" max="15114" width="13.42578125" style="64" customWidth="1"/>
    <col min="15115" max="15115" width="12.85546875" style="64" bestFit="1" customWidth="1"/>
    <col min="15116" max="15116" width="9.28515625" style="64" bestFit="1" customWidth="1"/>
    <col min="15117" max="15117" width="11.85546875" style="64" bestFit="1" customWidth="1"/>
    <col min="15118" max="15118" width="2.7109375" style="64" bestFit="1" customWidth="1"/>
    <col min="15119" max="15119" width="40.7109375" style="64" bestFit="1" customWidth="1"/>
    <col min="15120" max="15120" width="12.5703125" style="64" customWidth="1"/>
    <col min="15121" max="15121" width="7" style="64" bestFit="1" customWidth="1"/>
    <col min="15122" max="15122" width="11.7109375" style="64" bestFit="1" customWidth="1"/>
    <col min="15123" max="15123" width="12.85546875" style="64" bestFit="1" customWidth="1"/>
    <col min="15124" max="15124" width="11.5703125" style="64" bestFit="1" customWidth="1"/>
    <col min="15125" max="15125" width="12.5703125" style="64" bestFit="1" customWidth="1"/>
    <col min="15126" max="15360" width="9.140625" style="64"/>
    <col min="15361" max="15361" width="2.7109375" style="64" bestFit="1" customWidth="1"/>
    <col min="15362" max="15363" width="9.140625" style="64"/>
    <col min="15364" max="15364" width="10" style="64" customWidth="1"/>
    <col min="15365" max="15365" width="13" style="64" customWidth="1"/>
    <col min="15366" max="15366" width="13.85546875" style="64" customWidth="1"/>
    <col min="15367" max="15367" width="13.28515625" style="64" bestFit="1" customWidth="1"/>
    <col min="15368" max="15368" width="15.140625" style="64" customWidth="1"/>
    <col min="15369" max="15369" width="14.7109375" style="64" customWidth="1"/>
    <col min="15370" max="15370" width="13.42578125" style="64" customWidth="1"/>
    <col min="15371" max="15371" width="12.85546875" style="64" bestFit="1" customWidth="1"/>
    <col min="15372" max="15372" width="9.28515625" style="64" bestFit="1" customWidth="1"/>
    <col min="15373" max="15373" width="11.85546875" style="64" bestFit="1" customWidth="1"/>
    <col min="15374" max="15374" width="2.7109375" style="64" bestFit="1" customWidth="1"/>
    <col min="15375" max="15375" width="40.7109375" style="64" bestFit="1" customWidth="1"/>
    <col min="15376" max="15376" width="12.5703125" style="64" customWidth="1"/>
    <col min="15377" max="15377" width="7" style="64" bestFit="1" customWidth="1"/>
    <col min="15378" max="15378" width="11.7109375" style="64" bestFit="1" customWidth="1"/>
    <col min="15379" max="15379" width="12.85546875" style="64" bestFit="1" customWidth="1"/>
    <col min="15380" max="15380" width="11.5703125" style="64" bestFit="1" customWidth="1"/>
    <col min="15381" max="15381" width="12.5703125" style="64" bestFit="1" customWidth="1"/>
    <col min="15382" max="15616" width="9.140625" style="64"/>
    <col min="15617" max="15617" width="2.7109375" style="64" bestFit="1" customWidth="1"/>
    <col min="15618" max="15619" width="9.140625" style="64"/>
    <col min="15620" max="15620" width="10" style="64" customWidth="1"/>
    <col min="15621" max="15621" width="13" style="64" customWidth="1"/>
    <col min="15622" max="15622" width="13.85546875" style="64" customWidth="1"/>
    <col min="15623" max="15623" width="13.28515625" style="64" bestFit="1" customWidth="1"/>
    <col min="15624" max="15624" width="15.140625" style="64" customWidth="1"/>
    <col min="15625" max="15625" width="14.7109375" style="64" customWidth="1"/>
    <col min="15626" max="15626" width="13.42578125" style="64" customWidth="1"/>
    <col min="15627" max="15627" width="12.85546875" style="64" bestFit="1" customWidth="1"/>
    <col min="15628" max="15628" width="9.28515625" style="64" bestFit="1" customWidth="1"/>
    <col min="15629" max="15629" width="11.85546875" style="64" bestFit="1" customWidth="1"/>
    <col min="15630" max="15630" width="2.7109375" style="64" bestFit="1" customWidth="1"/>
    <col min="15631" max="15631" width="40.7109375" style="64" bestFit="1" customWidth="1"/>
    <col min="15632" max="15632" width="12.5703125" style="64" customWidth="1"/>
    <col min="15633" max="15633" width="7" style="64" bestFit="1" customWidth="1"/>
    <col min="15634" max="15634" width="11.7109375" style="64" bestFit="1" customWidth="1"/>
    <col min="15635" max="15635" width="12.85546875" style="64" bestFit="1" customWidth="1"/>
    <col min="15636" max="15636" width="11.5703125" style="64" bestFit="1" customWidth="1"/>
    <col min="15637" max="15637" width="12.5703125" style="64" bestFit="1" customWidth="1"/>
    <col min="15638" max="15872" width="9.140625" style="64"/>
    <col min="15873" max="15873" width="2.7109375" style="64" bestFit="1" customWidth="1"/>
    <col min="15874" max="15875" width="9.140625" style="64"/>
    <col min="15876" max="15876" width="10" style="64" customWidth="1"/>
    <col min="15877" max="15877" width="13" style="64" customWidth="1"/>
    <col min="15878" max="15878" width="13.85546875" style="64" customWidth="1"/>
    <col min="15879" max="15879" width="13.28515625" style="64" bestFit="1" customWidth="1"/>
    <col min="15880" max="15880" width="15.140625" style="64" customWidth="1"/>
    <col min="15881" max="15881" width="14.7109375" style="64" customWidth="1"/>
    <col min="15882" max="15882" width="13.42578125" style="64" customWidth="1"/>
    <col min="15883" max="15883" width="12.85546875" style="64" bestFit="1" customWidth="1"/>
    <col min="15884" max="15884" width="9.28515625" style="64" bestFit="1" customWidth="1"/>
    <col min="15885" max="15885" width="11.85546875" style="64" bestFit="1" customWidth="1"/>
    <col min="15886" max="15886" width="2.7109375" style="64" bestFit="1" customWidth="1"/>
    <col min="15887" max="15887" width="40.7109375" style="64" bestFit="1" customWidth="1"/>
    <col min="15888" max="15888" width="12.5703125" style="64" customWidth="1"/>
    <col min="15889" max="15889" width="7" style="64" bestFit="1" customWidth="1"/>
    <col min="15890" max="15890" width="11.7109375" style="64" bestFit="1" customWidth="1"/>
    <col min="15891" max="15891" width="12.85546875" style="64" bestFit="1" customWidth="1"/>
    <col min="15892" max="15892" width="11.5703125" style="64" bestFit="1" customWidth="1"/>
    <col min="15893" max="15893" width="12.5703125" style="64" bestFit="1" customWidth="1"/>
    <col min="15894" max="16128" width="9.140625" style="64"/>
    <col min="16129" max="16129" width="2.7109375" style="64" bestFit="1" customWidth="1"/>
    <col min="16130" max="16131" width="9.140625" style="64"/>
    <col min="16132" max="16132" width="10" style="64" customWidth="1"/>
    <col min="16133" max="16133" width="13" style="64" customWidth="1"/>
    <col min="16134" max="16134" width="13.85546875" style="64" customWidth="1"/>
    <col min="16135" max="16135" width="13.28515625" style="64" bestFit="1" customWidth="1"/>
    <col min="16136" max="16136" width="15.140625" style="64" customWidth="1"/>
    <col min="16137" max="16137" width="14.7109375" style="64" customWidth="1"/>
    <col min="16138" max="16138" width="13.42578125" style="64" customWidth="1"/>
    <col min="16139" max="16139" width="12.85546875" style="64" bestFit="1" customWidth="1"/>
    <col min="16140" max="16140" width="9.28515625" style="64" bestFit="1" customWidth="1"/>
    <col min="16141" max="16141" width="11.85546875" style="64" bestFit="1" customWidth="1"/>
    <col min="16142" max="16142" width="2.7109375" style="64" bestFit="1" customWidth="1"/>
    <col min="16143" max="16143" width="40.7109375" style="64" bestFit="1" customWidth="1"/>
    <col min="16144" max="16144" width="12.5703125" style="64" customWidth="1"/>
    <col min="16145" max="16145" width="7" style="64" bestFit="1" customWidth="1"/>
    <col min="16146" max="16146" width="11.7109375" style="64" bestFit="1" customWidth="1"/>
    <col min="16147" max="16147" width="12.85546875" style="64" bestFit="1" customWidth="1"/>
    <col min="16148" max="16148" width="11.5703125" style="64" bestFit="1" customWidth="1"/>
    <col min="16149" max="16149" width="12.5703125" style="64" bestFit="1" customWidth="1"/>
    <col min="16150" max="16384" width="9.140625" style="64"/>
  </cols>
  <sheetData>
    <row r="1" spans="1:21">
      <c r="D1" s="64" t="s">
        <v>401</v>
      </c>
      <c r="F1" s="140"/>
      <c r="G1" s="271"/>
    </row>
    <row r="2" spans="1:21">
      <c r="B2" s="207" t="s">
        <v>402</v>
      </c>
      <c r="C2" s="271" t="s">
        <v>403</v>
      </c>
      <c r="D2" s="140"/>
      <c r="E2" s="140" t="s">
        <v>404</v>
      </c>
    </row>
    <row r="3" spans="1:21" s="112" customFormat="1" ht="8.25"/>
    <row r="4" spans="1:21">
      <c r="D4" s="64" t="s">
        <v>405</v>
      </c>
    </row>
    <row r="5" spans="1:21" s="112" customFormat="1" ht="8.25"/>
    <row r="6" spans="1:21">
      <c r="D6" s="64" t="s">
        <v>406</v>
      </c>
      <c r="R6" s="112"/>
      <c r="S6" s="112"/>
      <c r="T6" s="112"/>
      <c r="U6" s="112"/>
    </row>
    <row r="7" spans="1:21">
      <c r="F7" s="272" t="s">
        <v>407</v>
      </c>
      <c r="G7" s="272"/>
      <c r="H7" s="272"/>
      <c r="I7" s="272" t="s">
        <v>408</v>
      </c>
      <c r="R7" s="112"/>
      <c r="S7" s="112"/>
      <c r="T7" s="112"/>
      <c r="U7" s="112"/>
    </row>
    <row r="8" spans="1:21" s="187" customFormat="1" ht="12.75" customHeight="1">
      <c r="A8" s="712" t="s">
        <v>409</v>
      </c>
      <c r="B8" s="713"/>
      <c r="C8" s="713"/>
      <c r="D8" s="273" t="s">
        <v>410</v>
      </c>
      <c r="E8" s="274"/>
      <c r="F8" s="275" t="s">
        <v>411</v>
      </c>
      <c r="G8" s="143" t="s">
        <v>412</v>
      </c>
      <c r="H8" s="275" t="s">
        <v>413</v>
      </c>
      <c r="I8" s="276" t="s">
        <v>414</v>
      </c>
      <c r="J8" s="275" t="s">
        <v>415</v>
      </c>
      <c r="K8" s="274" t="s">
        <v>416</v>
      </c>
      <c r="L8" s="277" t="s">
        <v>417</v>
      </c>
      <c r="R8" s="112"/>
      <c r="S8" s="112"/>
      <c r="T8" s="112"/>
      <c r="U8" s="112"/>
    </row>
    <row r="9" spans="1:21" s="187" customFormat="1" ht="12.75" customHeight="1">
      <c r="A9" s="714" t="s">
        <v>418</v>
      </c>
      <c r="B9" s="715"/>
      <c r="C9" s="715"/>
      <c r="E9" s="278" t="s">
        <v>955</v>
      </c>
      <c r="F9" s="279" t="s">
        <v>419</v>
      </c>
      <c r="G9" s="280" t="s">
        <v>420</v>
      </c>
      <c r="H9" s="279" t="s">
        <v>421</v>
      </c>
      <c r="I9" s="280" t="s">
        <v>422</v>
      </c>
      <c r="J9" s="279" t="s">
        <v>313</v>
      </c>
      <c r="K9" s="281" t="s">
        <v>423</v>
      </c>
      <c r="L9" s="282" t="s">
        <v>424</v>
      </c>
      <c r="R9" s="112"/>
      <c r="S9" s="112"/>
      <c r="T9" s="112"/>
      <c r="U9" s="112"/>
    </row>
    <row r="10" spans="1:21" s="287" customFormat="1">
      <c r="A10" s="71" t="s">
        <v>425</v>
      </c>
      <c r="B10" s="283" t="s">
        <v>426</v>
      </c>
      <c r="C10" s="284"/>
      <c r="D10" s="284"/>
      <c r="E10" s="284"/>
      <c r="F10" s="283" t="s">
        <v>427</v>
      </c>
      <c r="G10" s="285" t="s">
        <v>428</v>
      </c>
      <c r="H10" s="284" t="s">
        <v>429</v>
      </c>
      <c r="I10" s="285" t="s">
        <v>430</v>
      </c>
      <c r="J10" s="286" t="s">
        <v>431</v>
      </c>
      <c r="K10" s="286" t="s">
        <v>432</v>
      </c>
      <c r="L10" s="286" t="s">
        <v>433</v>
      </c>
      <c r="R10" s="112"/>
      <c r="S10" s="112"/>
      <c r="T10" s="112"/>
      <c r="U10" s="112"/>
    </row>
    <row r="11" spans="1:21">
      <c r="A11" s="288">
        <v>1</v>
      </c>
      <c r="B11" s="289" t="s">
        <v>434</v>
      </c>
      <c r="C11" s="290"/>
      <c r="D11" s="290"/>
      <c r="E11" s="291"/>
      <c r="F11" s="292">
        <f>SUM(SUM(Cronogra!S4:AB4))</f>
        <v>3490833.3333333335</v>
      </c>
      <c r="G11" s="293">
        <f>Cronogra!AE24</f>
        <v>2765750.01</v>
      </c>
      <c r="H11" s="294"/>
      <c r="I11" s="293">
        <v>3876200</v>
      </c>
      <c r="J11" s="295">
        <f>F11-G11</f>
        <v>725083.32333333371</v>
      </c>
      <c r="K11" s="296">
        <f t="shared" ref="K11:K26" si="0">(J11/F11)*100</f>
        <v>20.771066793984254</v>
      </c>
      <c r="L11" s="296">
        <f>(G11/$G$27)*100</f>
        <v>2.5769733034099649</v>
      </c>
      <c r="O11" s="297"/>
      <c r="R11" s="112"/>
      <c r="S11" s="112"/>
      <c r="T11" s="112"/>
      <c r="U11" s="112"/>
    </row>
    <row r="12" spans="1:21">
      <c r="A12" s="288">
        <v>2</v>
      </c>
      <c r="B12" s="298" t="s">
        <v>435</v>
      </c>
      <c r="C12" s="299"/>
      <c r="D12" s="299"/>
      <c r="E12" s="300"/>
      <c r="F12" s="292">
        <f>SUM(SUM(Cronogra!S5:AB5))</f>
        <v>1864481.1230123527</v>
      </c>
      <c r="G12" s="301">
        <f>Cronogra!AE25</f>
        <v>1723195.9300000004</v>
      </c>
      <c r="H12" s="294"/>
      <c r="I12" s="301">
        <v>3020161.45</v>
      </c>
      <c r="J12" s="295">
        <f t="shared" ref="J12:J26" si="1">F12-G12</f>
        <v>141285.19301235233</v>
      </c>
      <c r="K12" s="296">
        <f t="shared" si="0"/>
        <v>7.5777218266540896</v>
      </c>
      <c r="L12" s="296">
        <f t="shared" ref="L12:L26" si="2">(G12/$G$27)*100</f>
        <v>1.605578917869988</v>
      </c>
      <c r="O12" s="297"/>
      <c r="R12" s="112"/>
      <c r="S12" s="112"/>
      <c r="T12" s="112"/>
      <c r="U12" s="112"/>
    </row>
    <row r="13" spans="1:21">
      <c r="A13" s="288">
        <v>3</v>
      </c>
      <c r="B13" s="298" t="s">
        <v>436</v>
      </c>
      <c r="C13" s="299"/>
      <c r="D13" s="299"/>
      <c r="E13" s="300"/>
      <c r="F13" s="292">
        <f>SUM(SUM(Cronogra!S6:AB6))</f>
        <v>1013837.620552209</v>
      </c>
      <c r="G13" s="301">
        <f>Cronogra!AE26</f>
        <v>567080.37</v>
      </c>
      <c r="H13" s="294"/>
      <c r="I13" s="301">
        <v>1269691.6200000001</v>
      </c>
      <c r="J13" s="295">
        <f t="shared" si="1"/>
        <v>446757.25055220898</v>
      </c>
      <c r="K13" s="296">
        <f t="shared" si="0"/>
        <v>44.065957062125278</v>
      </c>
      <c r="L13" s="296">
        <f t="shared" si="2"/>
        <v>0.5283742091997119</v>
      </c>
      <c r="O13" s="297"/>
      <c r="R13" s="112"/>
      <c r="S13" s="112"/>
      <c r="T13" s="112"/>
      <c r="U13" s="112"/>
    </row>
    <row r="14" spans="1:21">
      <c r="A14" s="288">
        <v>4</v>
      </c>
      <c r="B14" s="298" t="s">
        <v>437</v>
      </c>
      <c r="C14" s="299"/>
      <c r="D14" s="299"/>
      <c r="E14" s="300"/>
      <c r="F14" s="292">
        <f>SUM(SUM(Cronogra!S7:AB7))</f>
        <v>1470655.6093345815</v>
      </c>
      <c r="G14" s="301">
        <f>Cronogra!AE27</f>
        <v>1339094.21</v>
      </c>
      <c r="H14" s="294"/>
      <c r="I14" s="301">
        <v>1843204.8</v>
      </c>
      <c r="J14" s="295">
        <f t="shared" si="1"/>
        <v>131561.39933458157</v>
      </c>
      <c r="K14" s="296">
        <f t="shared" si="0"/>
        <v>8.9457653103508274</v>
      </c>
      <c r="L14" s="296">
        <f t="shared" si="2"/>
        <v>1.2476941218273223</v>
      </c>
      <c r="R14" s="112"/>
      <c r="S14" s="112"/>
      <c r="T14" s="112"/>
      <c r="U14" s="112"/>
    </row>
    <row r="15" spans="1:21">
      <c r="A15" s="288">
        <v>5</v>
      </c>
      <c r="B15" s="298" t="s">
        <v>438</v>
      </c>
      <c r="C15" s="299"/>
      <c r="D15" s="299"/>
      <c r="E15" s="300"/>
      <c r="F15" s="292">
        <f>SUM(SUM(Cronogra!S8:AB8))</f>
        <v>6224382.2690686733</v>
      </c>
      <c r="G15" s="301">
        <f>Cronogra!AE28</f>
        <v>6662004.6399999987</v>
      </c>
      <c r="H15" s="294"/>
      <c r="I15" s="301">
        <v>8425165.6300000008</v>
      </c>
      <c r="J15" s="295">
        <f t="shared" si="1"/>
        <v>-437622.37093132548</v>
      </c>
      <c r="K15" s="296">
        <f t="shared" si="0"/>
        <v>-7.0307759391006197</v>
      </c>
      <c r="L15" s="296">
        <f t="shared" si="2"/>
        <v>6.2072884542711479</v>
      </c>
    </row>
    <row r="16" spans="1:21">
      <c r="A16" s="288">
        <v>6</v>
      </c>
      <c r="B16" s="298" t="s">
        <v>439</v>
      </c>
      <c r="C16" s="299"/>
      <c r="D16" s="299"/>
      <c r="E16" s="300"/>
      <c r="F16" s="292">
        <f>SUM(SUM(Cronogra!S9:AB9))</f>
        <v>2849068.0889252671</v>
      </c>
      <c r="G16" s="301">
        <f>Cronogra!AE29</f>
        <v>2518417.5099999998</v>
      </c>
      <c r="H16" s="294">
        <v>91169964.950000003</v>
      </c>
      <c r="I16" s="301">
        <v>3507551.94</v>
      </c>
      <c r="J16" s="295">
        <f t="shared" si="1"/>
        <v>330650.57892526733</v>
      </c>
      <c r="K16" s="296">
        <f t="shared" si="0"/>
        <v>11.605569561870183</v>
      </c>
      <c r="L16" s="296">
        <f t="shared" si="2"/>
        <v>2.3465225225146789</v>
      </c>
      <c r="O16" s="297"/>
      <c r="S16" s="297"/>
      <c r="T16" s="208"/>
      <c r="U16" s="297"/>
    </row>
    <row r="17" spans="1:18">
      <c r="A17" s="288">
        <v>7</v>
      </c>
      <c r="B17" s="298" t="s">
        <v>440</v>
      </c>
      <c r="C17" s="299"/>
      <c r="D17" s="299"/>
      <c r="E17" s="300"/>
      <c r="F17" s="292">
        <f>SUM(SUM(Cronogra!S10:AB10))</f>
        <v>987048.96641084889</v>
      </c>
      <c r="G17" s="301">
        <f>Cronogra!AE30</f>
        <v>721704.12</v>
      </c>
      <c r="H17" s="294"/>
      <c r="I17" s="301">
        <v>1291167.76</v>
      </c>
      <c r="J17" s="295">
        <f t="shared" si="1"/>
        <v>265344.8464108489</v>
      </c>
      <c r="K17" s="296">
        <f t="shared" si="0"/>
        <v>26.882642648997194</v>
      </c>
      <c r="L17" s="296">
        <f t="shared" si="2"/>
        <v>0.67244409056369558</v>
      </c>
      <c r="O17" s="297"/>
    </row>
    <row r="18" spans="1:18">
      <c r="A18" s="288">
        <v>8</v>
      </c>
      <c r="B18" s="298" t="s">
        <v>441</v>
      </c>
      <c r="C18" s="299"/>
      <c r="D18" s="299"/>
      <c r="E18" s="300"/>
      <c r="F18" s="292">
        <f>SUM(SUM(Cronogra!S11:AB11))</f>
        <v>10019388.73714787</v>
      </c>
      <c r="G18" s="301">
        <f>Cronogra!AE31</f>
        <v>9262433.9899999984</v>
      </c>
      <c r="H18" s="294"/>
      <c r="I18" s="301">
        <v>13362698.859999999</v>
      </c>
      <c r="J18" s="295">
        <f t="shared" si="1"/>
        <v>756954.74714787118</v>
      </c>
      <c r="K18" s="296">
        <f t="shared" si="0"/>
        <v>7.5548994754678684</v>
      </c>
      <c r="L18" s="296">
        <f t="shared" si="2"/>
        <v>8.630225085609613</v>
      </c>
      <c r="O18" s="297"/>
      <c r="P18" s="302"/>
    </row>
    <row r="19" spans="1:18">
      <c r="A19" s="288">
        <v>9</v>
      </c>
      <c r="B19" s="298" t="s">
        <v>442</v>
      </c>
      <c r="C19" s="299"/>
      <c r="D19" s="299"/>
      <c r="E19" s="300"/>
      <c r="F19" s="292">
        <f>SUM(SUM(Cronogra!S12:AB12))</f>
        <v>31292714.584452178</v>
      </c>
      <c r="G19" s="301">
        <f>Cronogra!AE32</f>
        <v>27181625.039999999</v>
      </c>
      <c r="H19" s="294"/>
      <c r="I19" s="301">
        <v>45300972.890000001</v>
      </c>
      <c r="J19" s="295">
        <f t="shared" si="1"/>
        <v>4111089.5444521792</v>
      </c>
      <c r="K19" s="296">
        <f t="shared" si="0"/>
        <v>13.137529290906514</v>
      </c>
      <c r="L19" s="296">
        <f>(G19/$G$27)*100</f>
        <v>25.326338901967439</v>
      </c>
      <c r="O19" s="297"/>
    </row>
    <row r="20" spans="1:18">
      <c r="A20" s="288">
        <v>10</v>
      </c>
      <c r="B20" s="298" t="s">
        <v>443</v>
      </c>
      <c r="C20" s="299"/>
      <c r="D20" s="299"/>
      <c r="E20" s="300"/>
      <c r="F20" s="292">
        <f>SUM(SUM(Cronogra!S13:AB13))</f>
        <v>21857268.332597423</v>
      </c>
      <c r="G20" s="301">
        <f>Cronogra!AE33</f>
        <v>23805519.440000001</v>
      </c>
      <c r="H20" s="294"/>
      <c r="I20" s="301">
        <v>31135114.59</v>
      </c>
      <c r="J20" s="295">
        <f t="shared" si="1"/>
        <v>-1948251.107402578</v>
      </c>
      <c r="K20" s="296">
        <f t="shared" si="0"/>
        <v>-8.9135159881667434</v>
      </c>
      <c r="L20" s="296">
        <f>(G20/$G$27)*100</f>
        <v>22.180669926378108</v>
      </c>
    </row>
    <row r="21" spans="1:18">
      <c r="A21" s="288">
        <v>11</v>
      </c>
      <c r="B21" s="298" t="s">
        <v>444</v>
      </c>
      <c r="C21" s="299"/>
      <c r="D21" s="299"/>
      <c r="E21" s="300"/>
      <c r="F21" s="292">
        <f>SUM(SUM(Cronogra!S14:AB14))</f>
        <v>3349011.0370394061</v>
      </c>
      <c r="G21" s="301">
        <f>Cronogra!AE34</f>
        <v>3214909.92</v>
      </c>
      <c r="H21" s="294"/>
      <c r="I21" s="301">
        <v>4768609.05</v>
      </c>
      <c r="J21" s="295">
        <f t="shared" si="1"/>
        <v>134101.11703940621</v>
      </c>
      <c r="K21" s="296">
        <f t="shared" si="0"/>
        <v>4.0042005104275296</v>
      </c>
      <c r="L21" s="296">
        <f t="shared" si="2"/>
        <v>2.9954757323522045</v>
      </c>
    </row>
    <row r="22" spans="1:18">
      <c r="A22" s="288">
        <v>12</v>
      </c>
      <c r="B22" s="298" t="s">
        <v>445</v>
      </c>
      <c r="C22" s="299"/>
      <c r="D22" s="299"/>
      <c r="E22" s="300"/>
      <c r="F22" s="292">
        <f>SUM(SUM(Cronogra!S15:AB15))</f>
        <v>1454152.4985689274</v>
      </c>
      <c r="G22" s="301">
        <f>Cronogra!AE35</f>
        <v>1284679.94</v>
      </c>
      <c r="H22" s="294"/>
      <c r="I22" s="301">
        <v>2371623.1</v>
      </c>
      <c r="J22" s="295">
        <f t="shared" si="1"/>
        <v>169472.55856892746</v>
      </c>
      <c r="K22" s="296">
        <f t="shared" si="0"/>
        <v>11.65438691854604</v>
      </c>
      <c r="L22" s="296">
        <f t="shared" si="2"/>
        <v>1.1969939064761375</v>
      </c>
      <c r="O22" s="297"/>
    </row>
    <row r="23" spans="1:18">
      <c r="A23" s="288">
        <v>13</v>
      </c>
      <c r="B23" s="298" t="s">
        <v>446</v>
      </c>
      <c r="C23" s="299"/>
      <c r="D23" s="299"/>
      <c r="E23" s="300"/>
      <c r="F23" s="292">
        <f>SUM(SUM(Cronogra!S16:AB16))</f>
        <v>2417294.9493654054</v>
      </c>
      <c r="G23" s="301">
        <f>Cronogra!AE36</f>
        <v>2406006.92</v>
      </c>
      <c r="H23" s="303"/>
      <c r="I23" s="301">
        <v>3034924.34</v>
      </c>
      <c r="J23" s="295">
        <f t="shared" si="1"/>
        <v>11288.02936540544</v>
      </c>
      <c r="K23" s="296">
        <f t="shared" si="0"/>
        <v>0.46696946801501421</v>
      </c>
      <c r="L23" s="296">
        <f t="shared" si="2"/>
        <v>2.2417845352044798</v>
      </c>
      <c r="O23" s="304"/>
      <c r="P23" s="297"/>
    </row>
    <row r="24" spans="1:18">
      <c r="A24" s="288">
        <v>14</v>
      </c>
      <c r="B24" s="298" t="s">
        <v>447</v>
      </c>
      <c r="C24" s="299"/>
      <c r="D24" s="303"/>
      <c r="E24" s="300"/>
      <c r="F24" s="292">
        <f>SUM(SUM(Cronogra!S17:AB17))</f>
        <v>299144.29999843956</v>
      </c>
      <c r="G24" s="301">
        <f>Cronogra!AE37</f>
        <v>0</v>
      </c>
      <c r="H24" s="303"/>
      <c r="I24" s="301">
        <f>8983.18</f>
        <v>8983.18</v>
      </c>
      <c r="J24" s="295">
        <f t="shared" si="1"/>
        <v>299144.29999843956</v>
      </c>
      <c r="K24" s="296">
        <f t="shared" si="0"/>
        <v>100</v>
      </c>
      <c r="L24" s="296">
        <f t="shared" si="2"/>
        <v>0</v>
      </c>
      <c r="O24" s="304"/>
      <c r="P24" s="297"/>
      <c r="R24" s="297"/>
    </row>
    <row r="25" spans="1:18">
      <c r="A25" s="288">
        <v>15</v>
      </c>
      <c r="B25" s="298" t="s">
        <v>448</v>
      </c>
      <c r="C25" s="299"/>
      <c r="D25" s="303"/>
      <c r="E25" s="300"/>
      <c r="F25" s="292">
        <f>SUM(SUM(Cronogra!S18:AB18))</f>
        <v>20728785.529297009</v>
      </c>
      <c r="G25" s="301">
        <f>Cronogra!AE38</f>
        <v>18643681.760000002</v>
      </c>
      <c r="H25" s="204">
        <v>24802717.52</v>
      </c>
      <c r="I25" s="301">
        <v>25810700.559999999</v>
      </c>
      <c r="J25" s="295">
        <f t="shared" si="1"/>
        <v>2085103.7692970075</v>
      </c>
      <c r="K25" s="296">
        <f t="shared" si="0"/>
        <v>10.058977002536054</v>
      </c>
      <c r="L25" s="296">
        <f>(G25/$G$27)*100</f>
        <v>17.371154297778098</v>
      </c>
      <c r="O25" s="297"/>
      <c r="P25" s="297"/>
      <c r="R25" s="297"/>
    </row>
    <row r="26" spans="1:18">
      <c r="A26" s="305">
        <v>16</v>
      </c>
      <c r="B26" s="306" t="s">
        <v>449</v>
      </c>
      <c r="C26" s="307"/>
      <c r="D26" s="307"/>
      <c r="E26" s="308"/>
      <c r="F26" s="292">
        <f>SUM(SUM(Cronogra!S19:AB19))</f>
        <v>3547118.0117712347</v>
      </c>
      <c r="G26" s="309">
        <f>Cronogra!AE39</f>
        <v>5229416.66</v>
      </c>
      <c r="H26" s="204">
        <f>3989015.48</f>
        <v>3989015.48</v>
      </c>
      <c r="I26" s="309">
        <v>6318211.3300000001</v>
      </c>
      <c r="J26" s="295">
        <f t="shared" si="1"/>
        <v>-1682298.6482287655</v>
      </c>
      <c r="K26" s="296">
        <f t="shared" si="0"/>
        <v>-47.427197027163992</v>
      </c>
      <c r="L26" s="296">
        <f t="shared" si="2"/>
        <v>4.8724819945774156</v>
      </c>
      <c r="O26" s="297"/>
    </row>
    <row r="27" spans="1:18">
      <c r="A27" s="716" t="s">
        <v>450</v>
      </c>
      <c r="B27" s="717"/>
      <c r="C27" s="310"/>
      <c r="D27" s="310"/>
      <c r="E27" s="311"/>
      <c r="F27" s="312">
        <f>SUM(F11:F26)</f>
        <v>112865184.99087514</v>
      </c>
      <c r="G27" s="313">
        <f>SUM(G11:G26)</f>
        <v>107325520.45999999</v>
      </c>
      <c r="H27" s="170">
        <f>SUM(H11:H26)</f>
        <v>119961697.95</v>
      </c>
      <c r="I27" s="79">
        <f>SUM(I11:I26)</f>
        <v>155344981.10000002</v>
      </c>
      <c r="J27" s="170">
        <f>SUM(J11:J26)</f>
        <v>5539664.5308751613</v>
      </c>
      <c r="K27" s="170"/>
      <c r="L27" s="87">
        <f>SUM(L11:L26)</f>
        <v>100</v>
      </c>
      <c r="O27" s="297"/>
    </row>
    <row r="28" spans="1:18">
      <c r="B28" s="140" t="s">
        <v>451</v>
      </c>
      <c r="C28" s="140" t="s">
        <v>452</v>
      </c>
      <c r="I28" s="174"/>
      <c r="R28" s="297"/>
    </row>
    <row r="29" spans="1:18" s="112" customFormat="1" ht="8.25">
      <c r="F29" s="96"/>
      <c r="G29" s="314">
        <f>G27-Cronogra!AE40</f>
        <v>0</v>
      </c>
      <c r="H29" s="314">
        <f>H27-Cronogra!D53</f>
        <v>0</v>
      </c>
      <c r="I29" s="314">
        <f>155344981.1-I27</f>
        <v>0</v>
      </c>
      <c r="J29" s="60"/>
    </row>
    <row r="30" spans="1:18">
      <c r="B30" s="82" t="s">
        <v>453</v>
      </c>
      <c r="C30" s="57" t="s">
        <v>454</v>
      </c>
      <c r="F30" s="204"/>
      <c r="G30" s="315"/>
    </row>
    <row r="31" spans="1:18" ht="14.25">
      <c r="B31" s="316" t="s">
        <v>957</v>
      </c>
      <c r="C31" s="140"/>
      <c r="F31" s="204"/>
      <c r="G31" s="317"/>
    </row>
    <row r="32" spans="1:18">
      <c r="B32" s="318" t="s">
        <v>455</v>
      </c>
      <c r="C32" s="57" t="s">
        <v>456</v>
      </c>
    </row>
    <row r="33" spans="2:15">
      <c r="B33" s="57" t="s">
        <v>457</v>
      </c>
      <c r="M33" s="304"/>
    </row>
    <row r="34" spans="2:15">
      <c r="B34" s="318" t="s">
        <v>458</v>
      </c>
      <c r="C34" s="64" t="str">
        <f>IF(H34&gt;0,"Superávit Orçamentário Consolidado apurado do período","Déficit Orçamentário Consolidado apurado do período")</f>
        <v>Superávit Orçamentário Consolidado apurado do período</v>
      </c>
      <c r="H34" s="319">
        <f>H27-G27</f>
        <v>12636177.49000001</v>
      </c>
      <c r="I34" s="297" t="s">
        <v>459</v>
      </c>
      <c r="M34" s="304"/>
    </row>
    <row r="35" spans="2:15">
      <c r="B35" s="318" t="s">
        <v>460</v>
      </c>
      <c r="C35" s="320" t="str">
        <f>IF(H35&gt;0,"Superávit Orçamentário da Pref. Municipal apurado do período","Déficit Orçamentário da Pref. Municipal apurado do período")</f>
        <v>Superávit Orçamentário da Pref. Municipal apurado do período</v>
      </c>
      <c r="H35" s="302">
        <f>H16-SUM(G11:G24)</f>
        <v>7717542.9100000113</v>
      </c>
      <c r="I35" s="635"/>
      <c r="J35" s="322"/>
      <c r="K35" s="321"/>
      <c r="O35" s="297"/>
    </row>
    <row r="36" spans="2:15">
      <c r="B36" s="318" t="s">
        <v>461</v>
      </c>
      <c r="C36" s="323" t="s">
        <v>956</v>
      </c>
      <c r="D36" s="303"/>
      <c r="E36" s="303"/>
      <c r="F36" s="303"/>
      <c r="G36" s="303"/>
      <c r="H36" s="302"/>
      <c r="J36" s="324">
        <f>Cronogra!J56</f>
        <v>6622066.1500000004</v>
      </c>
      <c r="K36" s="325"/>
    </row>
    <row r="37" spans="2:15" s="140" customFormat="1" ht="11.25">
      <c r="B37" s="318"/>
      <c r="C37" s="146"/>
      <c r="E37" s="208"/>
      <c r="G37" s="208"/>
      <c r="H37" s="208"/>
      <c r="J37" s="271"/>
    </row>
    <row r="38" spans="2:15" s="140" customFormat="1" ht="11.25">
      <c r="B38" s="57"/>
      <c r="G38" s="161"/>
      <c r="H38" s="370"/>
      <c r="I38" s="208"/>
      <c r="J38" s="208"/>
    </row>
    <row r="39" spans="2:15" s="140" customFormat="1" ht="11.25">
      <c r="B39" s="54"/>
      <c r="C39" s="55" t="s">
        <v>103</v>
      </c>
      <c r="D39" s="54"/>
      <c r="E39" s="54"/>
      <c r="F39" s="56" t="s">
        <v>104</v>
      </c>
      <c r="G39" s="56"/>
      <c r="H39" s="57"/>
      <c r="I39" s="55"/>
      <c r="J39" s="58" t="s">
        <v>105</v>
      </c>
      <c r="K39" s="57"/>
    </row>
    <row r="40" spans="2:15" s="140" customFormat="1" ht="11.25">
      <c r="B40" s="54"/>
      <c r="C40" s="55" t="s">
        <v>106</v>
      </c>
      <c r="D40" s="54"/>
      <c r="E40" s="54"/>
      <c r="F40" s="56" t="s">
        <v>107</v>
      </c>
      <c r="G40" s="56"/>
      <c r="H40" s="57"/>
      <c r="I40" s="55"/>
      <c r="J40" s="58" t="s">
        <v>108</v>
      </c>
      <c r="K40" s="57"/>
    </row>
    <row r="41" spans="2:15">
      <c r="B41" s="59"/>
      <c r="C41" s="59"/>
      <c r="D41" s="59"/>
      <c r="E41" s="59"/>
      <c r="F41" s="59"/>
      <c r="G41" s="59"/>
      <c r="H41" s="60"/>
      <c r="I41" s="59"/>
      <c r="J41" s="59"/>
      <c r="K41" s="59"/>
    </row>
    <row r="42" spans="2:15" s="140" customFormat="1" ht="11.25"/>
    <row r="43" spans="2:15" s="140" customFormat="1" ht="11.25"/>
    <row r="44" spans="2:15" s="140" customFormat="1" ht="11.25"/>
    <row r="45" spans="2:15" s="140" customFormat="1" ht="11.25"/>
    <row r="46" spans="2:15" s="140" customFormat="1" ht="11.25"/>
    <row r="47" spans="2:15" s="140" customFormat="1" ht="11.25"/>
    <row r="48" spans="2:15" s="140" customFormat="1" ht="11.25"/>
    <row r="49" s="140" customFormat="1" ht="11.25"/>
    <row r="50" s="140" customFormat="1" ht="11.25"/>
    <row r="51" s="140" customFormat="1" ht="11.25"/>
    <row r="52" s="140" customFormat="1" ht="11.25"/>
    <row r="53" s="140" customFormat="1" ht="11.25"/>
    <row r="54" s="140" customFormat="1" ht="11.25"/>
    <row r="55" s="140" customFormat="1" ht="11.25"/>
    <row r="56" s="140" customFormat="1" ht="11.25"/>
    <row r="57" s="140" customFormat="1" ht="11.25"/>
    <row r="58" s="140" customFormat="1" ht="11.25"/>
    <row r="59" s="140" customFormat="1" ht="11.25"/>
    <row r="60" s="140" customFormat="1" ht="11.25"/>
    <row r="61" s="140" customFormat="1" ht="11.25"/>
    <row r="62" s="140" customFormat="1" ht="11.25"/>
    <row r="63" s="140" customFormat="1" ht="11.25"/>
    <row r="64" s="140" customFormat="1" ht="11.25"/>
    <row r="65" spans="1:9" s="140" customFormat="1" ht="11.25"/>
    <row r="66" spans="1:9" s="140" customFormat="1" ht="11.25"/>
    <row r="67" spans="1:9" s="140" customFormat="1" ht="11.25"/>
    <row r="68" spans="1:9" s="140" customFormat="1" ht="11.25"/>
    <row r="69" spans="1:9" s="140" customFormat="1" ht="11.25"/>
    <row r="70" spans="1:9" s="140" customFormat="1" ht="11.25"/>
    <row r="71" spans="1:9" s="140" customFormat="1" ht="11.25"/>
    <row r="72" spans="1:9" s="140" customFormat="1" ht="11.25"/>
    <row r="73" spans="1:9" s="140" customFormat="1" ht="11.25"/>
    <row r="74" spans="1:9">
      <c r="B74" s="64" t="s">
        <v>462</v>
      </c>
    </row>
    <row r="75" spans="1:9" s="140" customFormat="1" ht="11.25">
      <c r="B75" s="57" t="s">
        <v>463</v>
      </c>
    </row>
    <row r="76" spans="1:9" s="140" customFormat="1" ht="11.25">
      <c r="B76" s="57" t="s">
        <v>464</v>
      </c>
    </row>
    <row r="77" spans="1:9" s="140" customFormat="1" ht="11.25">
      <c r="B77" s="57" t="s">
        <v>465</v>
      </c>
    </row>
    <row r="78" spans="1:9">
      <c r="A78" s="303"/>
      <c r="B78" s="140" t="s">
        <v>3199</v>
      </c>
      <c r="I78" s="636">
        <f>Cronogra!AE56/RCL!C5</f>
        <v>0.88686745202681871</v>
      </c>
    </row>
    <row r="82" spans="2:11">
      <c r="B82" s="54"/>
      <c r="C82" s="55" t="s">
        <v>103</v>
      </c>
      <c r="D82" s="54"/>
      <c r="E82" s="54"/>
      <c r="F82" s="56" t="s">
        <v>104</v>
      </c>
      <c r="G82" s="56"/>
      <c r="H82" s="57"/>
      <c r="I82" s="55"/>
      <c r="J82" s="58" t="s">
        <v>105</v>
      </c>
      <c r="K82" s="57"/>
    </row>
    <row r="83" spans="2:11">
      <c r="B83" s="54"/>
      <c r="C83" s="55" t="s">
        <v>106</v>
      </c>
      <c r="D83" s="54"/>
      <c r="E83" s="54"/>
      <c r="F83" s="56" t="s">
        <v>107</v>
      </c>
      <c r="G83" s="56"/>
      <c r="H83" s="57"/>
      <c r="I83" s="55"/>
      <c r="J83" s="58" t="s">
        <v>108</v>
      </c>
      <c r="K83" s="59"/>
    </row>
    <row r="84" spans="2:11">
      <c r="B84" s="59"/>
      <c r="C84" s="59"/>
      <c r="D84" s="59"/>
      <c r="E84" s="59"/>
      <c r="F84" s="59"/>
      <c r="G84" s="59"/>
      <c r="H84" s="60"/>
      <c r="I84" s="59"/>
      <c r="J84" s="59"/>
      <c r="K84" s="59"/>
    </row>
  </sheetData>
  <mergeCells count="3">
    <mergeCell ref="A8:C8"/>
    <mergeCell ref="A9:C9"/>
    <mergeCell ref="A27:B27"/>
  </mergeCells>
  <pageMargins left="0.51181102362204722" right="0.51181102362204722" top="0.78740157480314965" bottom="0.78740157480314965" header="0.31496062992125984" footer="0.31496062992125984"/>
  <pageSetup paperSize="9" orientation="landscape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R39"/>
  <sheetViews>
    <sheetView workbookViewId="0">
      <selection activeCell="B23" sqref="B23"/>
    </sheetView>
  </sheetViews>
  <sheetFormatPr defaultRowHeight="15"/>
  <cols>
    <col min="1" max="1" width="4.140625" bestFit="1" customWidth="1"/>
    <col min="2" max="2" width="8.42578125" bestFit="1" customWidth="1"/>
    <col min="3" max="3" width="12" bestFit="1" customWidth="1"/>
    <col min="4" max="4" width="11.42578125" bestFit="1" customWidth="1"/>
    <col min="5" max="5" width="13.7109375" style="66" bestFit="1" customWidth="1"/>
    <col min="6" max="6" width="13.7109375" bestFit="1" customWidth="1"/>
    <col min="7" max="7" width="13.28515625" bestFit="1" customWidth="1"/>
    <col min="8" max="8" width="12.85546875" bestFit="1" customWidth="1"/>
    <col min="9" max="9" width="11.42578125" bestFit="1" customWidth="1"/>
    <col min="10" max="10" width="10.28515625" bestFit="1" customWidth="1"/>
    <col min="11" max="11" width="10.5703125" bestFit="1" customWidth="1"/>
    <col min="12" max="12" width="11.85546875" bestFit="1" customWidth="1"/>
    <col min="13" max="13" width="4.5703125" style="1" bestFit="1" customWidth="1"/>
    <col min="14" max="14" width="3.7109375" style="1" bestFit="1" customWidth="1"/>
    <col min="15" max="15" width="10.5703125" style="1" bestFit="1" customWidth="1"/>
    <col min="16" max="17" width="11.42578125" style="1" bestFit="1" customWidth="1"/>
    <col min="18" max="18" width="4.7109375" bestFit="1" customWidth="1"/>
    <col min="258" max="258" width="4.140625" bestFit="1" customWidth="1"/>
    <col min="259" max="259" width="8.42578125" bestFit="1" customWidth="1"/>
    <col min="260" max="260" width="11.7109375" bestFit="1" customWidth="1"/>
    <col min="261" max="262" width="13.7109375" bestFit="1" customWidth="1"/>
    <col min="263" max="263" width="12.5703125" bestFit="1" customWidth="1"/>
    <col min="264" max="264" width="12.85546875" bestFit="1" customWidth="1"/>
    <col min="265" max="265" width="13.85546875" bestFit="1" customWidth="1"/>
    <col min="266" max="267" width="12.85546875" bestFit="1" customWidth="1"/>
    <col min="268" max="268" width="4.7109375" bestFit="1" customWidth="1"/>
    <col min="269" max="270" width="12.85546875" bestFit="1" customWidth="1"/>
    <col min="514" max="514" width="4.140625" bestFit="1" customWidth="1"/>
    <col min="515" max="515" width="8.42578125" bestFit="1" customWidth="1"/>
    <col min="516" max="516" width="11.7109375" bestFit="1" customWidth="1"/>
    <col min="517" max="518" width="13.7109375" bestFit="1" customWidth="1"/>
    <col min="519" max="519" width="12.5703125" bestFit="1" customWidth="1"/>
    <col min="520" max="520" width="12.85546875" bestFit="1" customWidth="1"/>
    <col min="521" max="521" width="13.85546875" bestFit="1" customWidth="1"/>
    <col min="522" max="523" width="12.85546875" bestFit="1" customWidth="1"/>
    <col min="524" max="524" width="4.7109375" bestFit="1" customWidth="1"/>
    <col min="525" max="526" width="12.85546875" bestFit="1" customWidth="1"/>
    <col min="770" max="770" width="4.140625" bestFit="1" customWidth="1"/>
    <col min="771" max="771" width="8.42578125" bestFit="1" customWidth="1"/>
    <col min="772" max="772" width="11.7109375" bestFit="1" customWidth="1"/>
    <col min="773" max="774" width="13.7109375" bestFit="1" customWidth="1"/>
    <col min="775" max="775" width="12.5703125" bestFit="1" customWidth="1"/>
    <col min="776" max="776" width="12.85546875" bestFit="1" customWidth="1"/>
    <col min="777" max="777" width="13.85546875" bestFit="1" customWidth="1"/>
    <col min="778" max="779" width="12.85546875" bestFit="1" customWidth="1"/>
    <col min="780" max="780" width="4.7109375" bestFit="1" customWidth="1"/>
    <col min="781" max="782" width="12.85546875" bestFit="1" customWidth="1"/>
    <col min="1026" max="1026" width="4.140625" bestFit="1" customWidth="1"/>
    <col min="1027" max="1027" width="8.42578125" bestFit="1" customWidth="1"/>
    <col min="1028" max="1028" width="11.7109375" bestFit="1" customWidth="1"/>
    <col min="1029" max="1030" width="13.7109375" bestFit="1" customWidth="1"/>
    <col min="1031" max="1031" width="12.5703125" bestFit="1" customWidth="1"/>
    <col min="1032" max="1032" width="12.85546875" bestFit="1" customWidth="1"/>
    <col min="1033" max="1033" width="13.85546875" bestFit="1" customWidth="1"/>
    <col min="1034" max="1035" width="12.85546875" bestFit="1" customWidth="1"/>
    <col min="1036" max="1036" width="4.7109375" bestFit="1" customWidth="1"/>
    <col min="1037" max="1038" width="12.85546875" bestFit="1" customWidth="1"/>
    <col min="1282" max="1282" width="4.140625" bestFit="1" customWidth="1"/>
    <col min="1283" max="1283" width="8.42578125" bestFit="1" customWidth="1"/>
    <col min="1284" max="1284" width="11.7109375" bestFit="1" customWidth="1"/>
    <col min="1285" max="1286" width="13.7109375" bestFit="1" customWidth="1"/>
    <col min="1287" max="1287" width="12.5703125" bestFit="1" customWidth="1"/>
    <col min="1288" max="1288" width="12.85546875" bestFit="1" customWidth="1"/>
    <col min="1289" max="1289" width="13.85546875" bestFit="1" customWidth="1"/>
    <col min="1290" max="1291" width="12.85546875" bestFit="1" customWidth="1"/>
    <col min="1292" max="1292" width="4.7109375" bestFit="1" customWidth="1"/>
    <col min="1293" max="1294" width="12.85546875" bestFit="1" customWidth="1"/>
    <col min="1538" max="1538" width="4.140625" bestFit="1" customWidth="1"/>
    <col min="1539" max="1539" width="8.42578125" bestFit="1" customWidth="1"/>
    <col min="1540" max="1540" width="11.7109375" bestFit="1" customWidth="1"/>
    <col min="1541" max="1542" width="13.7109375" bestFit="1" customWidth="1"/>
    <col min="1543" max="1543" width="12.5703125" bestFit="1" customWidth="1"/>
    <col min="1544" max="1544" width="12.85546875" bestFit="1" customWidth="1"/>
    <col min="1545" max="1545" width="13.85546875" bestFit="1" customWidth="1"/>
    <col min="1546" max="1547" width="12.85546875" bestFit="1" customWidth="1"/>
    <col min="1548" max="1548" width="4.7109375" bestFit="1" customWidth="1"/>
    <col min="1549" max="1550" width="12.85546875" bestFit="1" customWidth="1"/>
    <col min="1794" max="1794" width="4.140625" bestFit="1" customWidth="1"/>
    <col min="1795" max="1795" width="8.42578125" bestFit="1" customWidth="1"/>
    <col min="1796" max="1796" width="11.7109375" bestFit="1" customWidth="1"/>
    <col min="1797" max="1798" width="13.7109375" bestFit="1" customWidth="1"/>
    <col min="1799" max="1799" width="12.5703125" bestFit="1" customWidth="1"/>
    <col min="1800" max="1800" width="12.85546875" bestFit="1" customWidth="1"/>
    <col min="1801" max="1801" width="13.85546875" bestFit="1" customWidth="1"/>
    <col min="1802" max="1803" width="12.85546875" bestFit="1" customWidth="1"/>
    <col min="1804" max="1804" width="4.7109375" bestFit="1" customWidth="1"/>
    <col min="1805" max="1806" width="12.85546875" bestFit="1" customWidth="1"/>
    <col min="2050" max="2050" width="4.140625" bestFit="1" customWidth="1"/>
    <col min="2051" max="2051" width="8.42578125" bestFit="1" customWidth="1"/>
    <col min="2052" max="2052" width="11.7109375" bestFit="1" customWidth="1"/>
    <col min="2053" max="2054" width="13.7109375" bestFit="1" customWidth="1"/>
    <col min="2055" max="2055" width="12.5703125" bestFit="1" customWidth="1"/>
    <col min="2056" max="2056" width="12.85546875" bestFit="1" customWidth="1"/>
    <col min="2057" max="2057" width="13.85546875" bestFit="1" customWidth="1"/>
    <col min="2058" max="2059" width="12.85546875" bestFit="1" customWidth="1"/>
    <col min="2060" max="2060" width="4.7109375" bestFit="1" customWidth="1"/>
    <col min="2061" max="2062" width="12.85546875" bestFit="1" customWidth="1"/>
    <col min="2306" max="2306" width="4.140625" bestFit="1" customWidth="1"/>
    <col min="2307" max="2307" width="8.42578125" bestFit="1" customWidth="1"/>
    <col min="2308" max="2308" width="11.7109375" bestFit="1" customWidth="1"/>
    <col min="2309" max="2310" width="13.7109375" bestFit="1" customWidth="1"/>
    <col min="2311" max="2311" width="12.5703125" bestFit="1" customWidth="1"/>
    <col min="2312" max="2312" width="12.85546875" bestFit="1" customWidth="1"/>
    <col min="2313" max="2313" width="13.85546875" bestFit="1" customWidth="1"/>
    <col min="2314" max="2315" width="12.85546875" bestFit="1" customWidth="1"/>
    <col min="2316" max="2316" width="4.7109375" bestFit="1" customWidth="1"/>
    <col min="2317" max="2318" width="12.85546875" bestFit="1" customWidth="1"/>
    <col min="2562" max="2562" width="4.140625" bestFit="1" customWidth="1"/>
    <col min="2563" max="2563" width="8.42578125" bestFit="1" customWidth="1"/>
    <col min="2564" max="2564" width="11.7109375" bestFit="1" customWidth="1"/>
    <col min="2565" max="2566" width="13.7109375" bestFit="1" customWidth="1"/>
    <col min="2567" max="2567" width="12.5703125" bestFit="1" customWidth="1"/>
    <col min="2568" max="2568" width="12.85546875" bestFit="1" customWidth="1"/>
    <col min="2569" max="2569" width="13.85546875" bestFit="1" customWidth="1"/>
    <col min="2570" max="2571" width="12.85546875" bestFit="1" customWidth="1"/>
    <col min="2572" max="2572" width="4.7109375" bestFit="1" customWidth="1"/>
    <col min="2573" max="2574" width="12.85546875" bestFit="1" customWidth="1"/>
    <col min="2818" max="2818" width="4.140625" bestFit="1" customWidth="1"/>
    <col min="2819" max="2819" width="8.42578125" bestFit="1" customWidth="1"/>
    <col min="2820" max="2820" width="11.7109375" bestFit="1" customWidth="1"/>
    <col min="2821" max="2822" width="13.7109375" bestFit="1" customWidth="1"/>
    <col min="2823" max="2823" width="12.5703125" bestFit="1" customWidth="1"/>
    <col min="2824" max="2824" width="12.85546875" bestFit="1" customWidth="1"/>
    <col min="2825" max="2825" width="13.85546875" bestFit="1" customWidth="1"/>
    <col min="2826" max="2827" width="12.85546875" bestFit="1" customWidth="1"/>
    <col min="2828" max="2828" width="4.7109375" bestFit="1" customWidth="1"/>
    <col min="2829" max="2830" width="12.85546875" bestFit="1" customWidth="1"/>
    <col min="3074" max="3074" width="4.140625" bestFit="1" customWidth="1"/>
    <col min="3075" max="3075" width="8.42578125" bestFit="1" customWidth="1"/>
    <col min="3076" max="3076" width="11.7109375" bestFit="1" customWidth="1"/>
    <col min="3077" max="3078" width="13.7109375" bestFit="1" customWidth="1"/>
    <col min="3079" max="3079" width="12.5703125" bestFit="1" customWidth="1"/>
    <col min="3080" max="3080" width="12.85546875" bestFit="1" customWidth="1"/>
    <col min="3081" max="3081" width="13.85546875" bestFit="1" customWidth="1"/>
    <col min="3082" max="3083" width="12.85546875" bestFit="1" customWidth="1"/>
    <col min="3084" max="3084" width="4.7109375" bestFit="1" customWidth="1"/>
    <col min="3085" max="3086" width="12.85546875" bestFit="1" customWidth="1"/>
    <col min="3330" max="3330" width="4.140625" bestFit="1" customWidth="1"/>
    <col min="3331" max="3331" width="8.42578125" bestFit="1" customWidth="1"/>
    <col min="3332" max="3332" width="11.7109375" bestFit="1" customWidth="1"/>
    <col min="3333" max="3334" width="13.7109375" bestFit="1" customWidth="1"/>
    <col min="3335" max="3335" width="12.5703125" bestFit="1" customWidth="1"/>
    <col min="3336" max="3336" width="12.85546875" bestFit="1" customWidth="1"/>
    <col min="3337" max="3337" width="13.85546875" bestFit="1" customWidth="1"/>
    <col min="3338" max="3339" width="12.85546875" bestFit="1" customWidth="1"/>
    <col min="3340" max="3340" width="4.7109375" bestFit="1" customWidth="1"/>
    <col min="3341" max="3342" width="12.85546875" bestFit="1" customWidth="1"/>
    <col min="3586" max="3586" width="4.140625" bestFit="1" customWidth="1"/>
    <col min="3587" max="3587" width="8.42578125" bestFit="1" customWidth="1"/>
    <col min="3588" max="3588" width="11.7109375" bestFit="1" customWidth="1"/>
    <col min="3589" max="3590" width="13.7109375" bestFit="1" customWidth="1"/>
    <col min="3591" max="3591" width="12.5703125" bestFit="1" customWidth="1"/>
    <col min="3592" max="3592" width="12.85546875" bestFit="1" customWidth="1"/>
    <col min="3593" max="3593" width="13.85546875" bestFit="1" customWidth="1"/>
    <col min="3594" max="3595" width="12.85546875" bestFit="1" customWidth="1"/>
    <col min="3596" max="3596" width="4.7109375" bestFit="1" customWidth="1"/>
    <col min="3597" max="3598" width="12.85546875" bestFit="1" customWidth="1"/>
    <col min="3842" max="3842" width="4.140625" bestFit="1" customWidth="1"/>
    <col min="3843" max="3843" width="8.42578125" bestFit="1" customWidth="1"/>
    <col min="3844" max="3844" width="11.7109375" bestFit="1" customWidth="1"/>
    <col min="3845" max="3846" width="13.7109375" bestFit="1" customWidth="1"/>
    <col min="3847" max="3847" width="12.5703125" bestFit="1" customWidth="1"/>
    <col min="3848" max="3848" width="12.85546875" bestFit="1" customWidth="1"/>
    <col min="3849" max="3849" width="13.85546875" bestFit="1" customWidth="1"/>
    <col min="3850" max="3851" width="12.85546875" bestFit="1" customWidth="1"/>
    <col min="3852" max="3852" width="4.7109375" bestFit="1" customWidth="1"/>
    <col min="3853" max="3854" width="12.85546875" bestFit="1" customWidth="1"/>
    <col min="4098" max="4098" width="4.140625" bestFit="1" customWidth="1"/>
    <col min="4099" max="4099" width="8.42578125" bestFit="1" customWidth="1"/>
    <col min="4100" max="4100" width="11.7109375" bestFit="1" customWidth="1"/>
    <col min="4101" max="4102" width="13.7109375" bestFit="1" customWidth="1"/>
    <col min="4103" max="4103" width="12.5703125" bestFit="1" customWidth="1"/>
    <col min="4104" max="4104" width="12.85546875" bestFit="1" customWidth="1"/>
    <col min="4105" max="4105" width="13.85546875" bestFit="1" customWidth="1"/>
    <col min="4106" max="4107" width="12.85546875" bestFit="1" customWidth="1"/>
    <col min="4108" max="4108" width="4.7109375" bestFit="1" customWidth="1"/>
    <col min="4109" max="4110" width="12.85546875" bestFit="1" customWidth="1"/>
    <col min="4354" max="4354" width="4.140625" bestFit="1" customWidth="1"/>
    <col min="4355" max="4355" width="8.42578125" bestFit="1" customWidth="1"/>
    <col min="4356" max="4356" width="11.7109375" bestFit="1" customWidth="1"/>
    <col min="4357" max="4358" width="13.7109375" bestFit="1" customWidth="1"/>
    <col min="4359" max="4359" width="12.5703125" bestFit="1" customWidth="1"/>
    <col min="4360" max="4360" width="12.85546875" bestFit="1" customWidth="1"/>
    <col min="4361" max="4361" width="13.85546875" bestFit="1" customWidth="1"/>
    <col min="4362" max="4363" width="12.85546875" bestFit="1" customWidth="1"/>
    <col min="4364" max="4364" width="4.7109375" bestFit="1" customWidth="1"/>
    <col min="4365" max="4366" width="12.85546875" bestFit="1" customWidth="1"/>
    <col min="4610" max="4610" width="4.140625" bestFit="1" customWidth="1"/>
    <col min="4611" max="4611" width="8.42578125" bestFit="1" customWidth="1"/>
    <col min="4612" max="4612" width="11.7109375" bestFit="1" customWidth="1"/>
    <col min="4613" max="4614" width="13.7109375" bestFit="1" customWidth="1"/>
    <col min="4615" max="4615" width="12.5703125" bestFit="1" customWidth="1"/>
    <col min="4616" max="4616" width="12.85546875" bestFit="1" customWidth="1"/>
    <col min="4617" max="4617" width="13.85546875" bestFit="1" customWidth="1"/>
    <col min="4618" max="4619" width="12.85546875" bestFit="1" customWidth="1"/>
    <col min="4620" max="4620" width="4.7109375" bestFit="1" customWidth="1"/>
    <col min="4621" max="4622" width="12.85546875" bestFit="1" customWidth="1"/>
    <col min="4866" max="4866" width="4.140625" bestFit="1" customWidth="1"/>
    <col min="4867" max="4867" width="8.42578125" bestFit="1" customWidth="1"/>
    <col min="4868" max="4868" width="11.7109375" bestFit="1" customWidth="1"/>
    <col min="4869" max="4870" width="13.7109375" bestFit="1" customWidth="1"/>
    <col min="4871" max="4871" width="12.5703125" bestFit="1" customWidth="1"/>
    <col min="4872" max="4872" width="12.85546875" bestFit="1" customWidth="1"/>
    <col min="4873" max="4873" width="13.85546875" bestFit="1" customWidth="1"/>
    <col min="4874" max="4875" width="12.85546875" bestFit="1" customWidth="1"/>
    <col min="4876" max="4876" width="4.7109375" bestFit="1" customWidth="1"/>
    <col min="4877" max="4878" width="12.85546875" bestFit="1" customWidth="1"/>
    <col min="5122" max="5122" width="4.140625" bestFit="1" customWidth="1"/>
    <col min="5123" max="5123" width="8.42578125" bestFit="1" customWidth="1"/>
    <col min="5124" max="5124" width="11.7109375" bestFit="1" customWidth="1"/>
    <col min="5125" max="5126" width="13.7109375" bestFit="1" customWidth="1"/>
    <col min="5127" max="5127" width="12.5703125" bestFit="1" customWidth="1"/>
    <col min="5128" max="5128" width="12.85546875" bestFit="1" customWidth="1"/>
    <col min="5129" max="5129" width="13.85546875" bestFit="1" customWidth="1"/>
    <col min="5130" max="5131" width="12.85546875" bestFit="1" customWidth="1"/>
    <col min="5132" max="5132" width="4.7109375" bestFit="1" customWidth="1"/>
    <col min="5133" max="5134" width="12.85546875" bestFit="1" customWidth="1"/>
    <col min="5378" max="5378" width="4.140625" bestFit="1" customWidth="1"/>
    <col min="5379" max="5379" width="8.42578125" bestFit="1" customWidth="1"/>
    <col min="5380" max="5380" width="11.7109375" bestFit="1" customWidth="1"/>
    <col min="5381" max="5382" width="13.7109375" bestFit="1" customWidth="1"/>
    <col min="5383" max="5383" width="12.5703125" bestFit="1" customWidth="1"/>
    <col min="5384" max="5384" width="12.85546875" bestFit="1" customWidth="1"/>
    <col min="5385" max="5385" width="13.85546875" bestFit="1" customWidth="1"/>
    <col min="5386" max="5387" width="12.85546875" bestFit="1" customWidth="1"/>
    <col min="5388" max="5388" width="4.7109375" bestFit="1" customWidth="1"/>
    <col min="5389" max="5390" width="12.85546875" bestFit="1" customWidth="1"/>
    <col min="5634" max="5634" width="4.140625" bestFit="1" customWidth="1"/>
    <col min="5635" max="5635" width="8.42578125" bestFit="1" customWidth="1"/>
    <col min="5636" max="5636" width="11.7109375" bestFit="1" customWidth="1"/>
    <col min="5637" max="5638" width="13.7109375" bestFit="1" customWidth="1"/>
    <col min="5639" max="5639" width="12.5703125" bestFit="1" customWidth="1"/>
    <col min="5640" max="5640" width="12.85546875" bestFit="1" customWidth="1"/>
    <col min="5641" max="5641" width="13.85546875" bestFit="1" customWidth="1"/>
    <col min="5642" max="5643" width="12.85546875" bestFit="1" customWidth="1"/>
    <col min="5644" max="5644" width="4.7109375" bestFit="1" customWidth="1"/>
    <col min="5645" max="5646" width="12.85546875" bestFit="1" customWidth="1"/>
    <col min="5890" max="5890" width="4.140625" bestFit="1" customWidth="1"/>
    <col min="5891" max="5891" width="8.42578125" bestFit="1" customWidth="1"/>
    <col min="5892" max="5892" width="11.7109375" bestFit="1" customWidth="1"/>
    <col min="5893" max="5894" width="13.7109375" bestFit="1" customWidth="1"/>
    <col min="5895" max="5895" width="12.5703125" bestFit="1" customWidth="1"/>
    <col min="5896" max="5896" width="12.85546875" bestFit="1" customWidth="1"/>
    <col min="5897" max="5897" width="13.85546875" bestFit="1" customWidth="1"/>
    <col min="5898" max="5899" width="12.85546875" bestFit="1" customWidth="1"/>
    <col min="5900" max="5900" width="4.7109375" bestFit="1" customWidth="1"/>
    <col min="5901" max="5902" width="12.85546875" bestFit="1" customWidth="1"/>
    <col min="6146" max="6146" width="4.140625" bestFit="1" customWidth="1"/>
    <col min="6147" max="6147" width="8.42578125" bestFit="1" customWidth="1"/>
    <col min="6148" max="6148" width="11.7109375" bestFit="1" customWidth="1"/>
    <col min="6149" max="6150" width="13.7109375" bestFit="1" customWidth="1"/>
    <col min="6151" max="6151" width="12.5703125" bestFit="1" customWidth="1"/>
    <col min="6152" max="6152" width="12.85546875" bestFit="1" customWidth="1"/>
    <col min="6153" max="6153" width="13.85546875" bestFit="1" customWidth="1"/>
    <col min="6154" max="6155" width="12.85546875" bestFit="1" customWidth="1"/>
    <col min="6156" max="6156" width="4.7109375" bestFit="1" customWidth="1"/>
    <col min="6157" max="6158" width="12.85546875" bestFit="1" customWidth="1"/>
    <col min="6402" max="6402" width="4.140625" bestFit="1" customWidth="1"/>
    <col min="6403" max="6403" width="8.42578125" bestFit="1" customWidth="1"/>
    <col min="6404" max="6404" width="11.7109375" bestFit="1" customWidth="1"/>
    <col min="6405" max="6406" width="13.7109375" bestFit="1" customWidth="1"/>
    <col min="6407" max="6407" width="12.5703125" bestFit="1" customWidth="1"/>
    <col min="6408" max="6408" width="12.85546875" bestFit="1" customWidth="1"/>
    <col min="6409" max="6409" width="13.85546875" bestFit="1" customWidth="1"/>
    <col min="6410" max="6411" width="12.85546875" bestFit="1" customWidth="1"/>
    <col min="6412" max="6412" width="4.7109375" bestFit="1" customWidth="1"/>
    <col min="6413" max="6414" width="12.85546875" bestFit="1" customWidth="1"/>
    <col min="6658" max="6658" width="4.140625" bestFit="1" customWidth="1"/>
    <col min="6659" max="6659" width="8.42578125" bestFit="1" customWidth="1"/>
    <col min="6660" max="6660" width="11.7109375" bestFit="1" customWidth="1"/>
    <col min="6661" max="6662" width="13.7109375" bestFit="1" customWidth="1"/>
    <col min="6663" max="6663" width="12.5703125" bestFit="1" customWidth="1"/>
    <col min="6664" max="6664" width="12.85546875" bestFit="1" customWidth="1"/>
    <col min="6665" max="6665" width="13.85546875" bestFit="1" customWidth="1"/>
    <col min="6666" max="6667" width="12.85546875" bestFit="1" customWidth="1"/>
    <col min="6668" max="6668" width="4.7109375" bestFit="1" customWidth="1"/>
    <col min="6669" max="6670" width="12.85546875" bestFit="1" customWidth="1"/>
    <col min="6914" max="6914" width="4.140625" bestFit="1" customWidth="1"/>
    <col min="6915" max="6915" width="8.42578125" bestFit="1" customWidth="1"/>
    <col min="6916" max="6916" width="11.7109375" bestFit="1" customWidth="1"/>
    <col min="6917" max="6918" width="13.7109375" bestFit="1" customWidth="1"/>
    <col min="6919" max="6919" width="12.5703125" bestFit="1" customWidth="1"/>
    <col min="6920" max="6920" width="12.85546875" bestFit="1" customWidth="1"/>
    <col min="6921" max="6921" width="13.85546875" bestFit="1" customWidth="1"/>
    <col min="6922" max="6923" width="12.85546875" bestFit="1" customWidth="1"/>
    <col min="6924" max="6924" width="4.7109375" bestFit="1" customWidth="1"/>
    <col min="6925" max="6926" width="12.85546875" bestFit="1" customWidth="1"/>
    <col min="7170" max="7170" width="4.140625" bestFit="1" customWidth="1"/>
    <col min="7171" max="7171" width="8.42578125" bestFit="1" customWidth="1"/>
    <col min="7172" max="7172" width="11.7109375" bestFit="1" customWidth="1"/>
    <col min="7173" max="7174" width="13.7109375" bestFit="1" customWidth="1"/>
    <col min="7175" max="7175" width="12.5703125" bestFit="1" customWidth="1"/>
    <col min="7176" max="7176" width="12.85546875" bestFit="1" customWidth="1"/>
    <col min="7177" max="7177" width="13.85546875" bestFit="1" customWidth="1"/>
    <col min="7178" max="7179" width="12.85546875" bestFit="1" customWidth="1"/>
    <col min="7180" max="7180" width="4.7109375" bestFit="1" customWidth="1"/>
    <col min="7181" max="7182" width="12.85546875" bestFit="1" customWidth="1"/>
    <col min="7426" max="7426" width="4.140625" bestFit="1" customWidth="1"/>
    <col min="7427" max="7427" width="8.42578125" bestFit="1" customWidth="1"/>
    <col min="7428" max="7428" width="11.7109375" bestFit="1" customWidth="1"/>
    <col min="7429" max="7430" width="13.7109375" bestFit="1" customWidth="1"/>
    <col min="7431" max="7431" width="12.5703125" bestFit="1" customWidth="1"/>
    <col min="7432" max="7432" width="12.85546875" bestFit="1" customWidth="1"/>
    <col min="7433" max="7433" width="13.85546875" bestFit="1" customWidth="1"/>
    <col min="7434" max="7435" width="12.85546875" bestFit="1" customWidth="1"/>
    <col min="7436" max="7436" width="4.7109375" bestFit="1" customWidth="1"/>
    <col min="7437" max="7438" width="12.85546875" bestFit="1" customWidth="1"/>
    <col min="7682" max="7682" width="4.140625" bestFit="1" customWidth="1"/>
    <col min="7683" max="7683" width="8.42578125" bestFit="1" customWidth="1"/>
    <col min="7684" max="7684" width="11.7109375" bestFit="1" customWidth="1"/>
    <col min="7685" max="7686" width="13.7109375" bestFit="1" customWidth="1"/>
    <col min="7687" max="7687" width="12.5703125" bestFit="1" customWidth="1"/>
    <col min="7688" max="7688" width="12.85546875" bestFit="1" customWidth="1"/>
    <col min="7689" max="7689" width="13.85546875" bestFit="1" customWidth="1"/>
    <col min="7690" max="7691" width="12.85546875" bestFit="1" customWidth="1"/>
    <col min="7692" max="7692" width="4.7109375" bestFit="1" customWidth="1"/>
    <col min="7693" max="7694" width="12.85546875" bestFit="1" customWidth="1"/>
    <col min="7938" max="7938" width="4.140625" bestFit="1" customWidth="1"/>
    <col min="7939" max="7939" width="8.42578125" bestFit="1" customWidth="1"/>
    <col min="7940" max="7940" width="11.7109375" bestFit="1" customWidth="1"/>
    <col min="7941" max="7942" width="13.7109375" bestFit="1" customWidth="1"/>
    <col min="7943" max="7943" width="12.5703125" bestFit="1" customWidth="1"/>
    <col min="7944" max="7944" width="12.85546875" bestFit="1" customWidth="1"/>
    <col min="7945" max="7945" width="13.85546875" bestFit="1" customWidth="1"/>
    <col min="7946" max="7947" width="12.85546875" bestFit="1" customWidth="1"/>
    <col min="7948" max="7948" width="4.7109375" bestFit="1" customWidth="1"/>
    <col min="7949" max="7950" width="12.85546875" bestFit="1" customWidth="1"/>
    <col min="8194" max="8194" width="4.140625" bestFit="1" customWidth="1"/>
    <col min="8195" max="8195" width="8.42578125" bestFit="1" customWidth="1"/>
    <col min="8196" max="8196" width="11.7109375" bestFit="1" customWidth="1"/>
    <col min="8197" max="8198" width="13.7109375" bestFit="1" customWidth="1"/>
    <col min="8199" max="8199" width="12.5703125" bestFit="1" customWidth="1"/>
    <col min="8200" max="8200" width="12.85546875" bestFit="1" customWidth="1"/>
    <col min="8201" max="8201" width="13.85546875" bestFit="1" customWidth="1"/>
    <col min="8202" max="8203" width="12.85546875" bestFit="1" customWidth="1"/>
    <col min="8204" max="8204" width="4.7109375" bestFit="1" customWidth="1"/>
    <col min="8205" max="8206" width="12.85546875" bestFit="1" customWidth="1"/>
    <col min="8450" max="8450" width="4.140625" bestFit="1" customWidth="1"/>
    <col min="8451" max="8451" width="8.42578125" bestFit="1" customWidth="1"/>
    <col min="8452" max="8452" width="11.7109375" bestFit="1" customWidth="1"/>
    <col min="8453" max="8454" width="13.7109375" bestFit="1" customWidth="1"/>
    <col min="8455" max="8455" width="12.5703125" bestFit="1" customWidth="1"/>
    <col min="8456" max="8456" width="12.85546875" bestFit="1" customWidth="1"/>
    <col min="8457" max="8457" width="13.85546875" bestFit="1" customWidth="1"/>
    <col min="8458" max="8459" width="12.85546875" bestFit="1" customWidth="1"/>
    <col min="8460" max="8460" width="4.7109375" bestFit="1" customWidth="1"/>
    <col min="8461" max="8462" width="12.85546875" bestFit="1" customWidth="1"/>
    <col min="8706" max="8706" width="4.140625" bestFit="1" customWidth="1"/>
    <col min="8707" max="8707" width="8.42578125" bestFit="1" customWidth="1"/>
    <col min="8708" max="8708" width="11.7109375" bestFit="1" customWidth="1"/>
    <col min="8709" max="8710" width="13.7109375" bestFit="1" customWidth="1"/>
    <col min="8711" max="8711" width="12.5703125" bestFit="1" customWidth="1"/>
    <col min="8712" max="8712" width="12.85546875" bestFit="1" customWidth="1"/>
    <col min="8713" max="8713" width="13.85546875" bestFit="1" customWidth="1"/>
    <col min="8714" max="8715" width="12.85546875" bestFit="1" customWidth="1"/>
    <col min="8716" max="8716" width="4.7109375" bestFit="1" customWidth="1"/>
    <col min="8717" max="8718" width="12.85546875" bestFit="1" customWidth="1"/>
    <col min="8962" max="8962" width="4.140625" bestFit="1" customWidth="1"/>
    <col min="8963" max="8963" width="8.42578125" bestFit="1" customWidth="1"/>
    <col min="8964" max="8964" width="11.7109375" bestFit="1" customWidth="1"/>
    <col min="8965" max="8966" width="13.7109375" bestFit="1" customWidth="1"/>
    <col min="8967" max="8967" width="12.5703125" bestFit="1" customWidth="1"/>
    <col min="8968" max="8968" width="12.85546875" bestFit="1" customWidth="1"/>
    <col min="8969" max="8969" width="13.85546875" bestFit="1" customWidth="1"/>
    <col min="8970" max="8971" width="12.85546875" bestFit="1" customWidth="1"/>
    <col min="8972" max="8972" width="4.7109375" bestFit="1" customWidth="1"/>
    <col min="8973" max="8974" width="12.85546875" bestFit="1" customWidth="1"/>
    <col min="9218" max="9218" width="4.140625" bestFit="1" customWidth="1"/>
    <col min="9219" max="9219" width="8.42578125" bestFit="1" customWidth="1"/>
    <col min="9220" max="9220" width="11.7109375" bestFit="1" customWidth="1"/>
    <col min="9221" max="9222" width="13.7109375" bestFit="1" customWidth="1"/>
    <col min="9223" max="9223" width="12.5703125" bestFit="1" customWidth="1"/>
    <col min="9224" max="9224" width="12.85546875" bestFit="1" customWidth="1"/>
    <col min="9225" max="9225" width="13.85546875" bestFit="1" customWidth="1"/>
    <col min="9226" max="9227" width="12.85546875" bestFit="1" customWidth="1"/>
    <col min="9228" max="9228" width="4.7109375" bestFit="1" customWidth="1"/>
    <col min="9229" max="9230" width="12.85546875" bestFit="1" customWidth="1"/>
    <col min="9474" max="9474" width="4.140625" bestFit="1" customWidth="1"/>
    <col min="9475" max="9475" width="8.42578125" bestFit="1" customWidth="1"/>
    <col min="9476" max="9476" width="11.7109375" bestFit="1" customWidth="1"/>
    <col min="9477" max="9478" width="13.7109375" bestFit="1" customWidth="1"/>
    <col min="9479" max="9479" width="12.5703125" bestFit="1" customWidth="1"/>
    <col min="9480" max="9480" width="12.85546875" bestFit="1" customWidth="1"/>
    <col min="9481" max="9481" width="13.85546875" bestFit="1" customWidth="1"/>
    <col min="9482" max="9483" width="12.85546875" bestFit="1" customWidth="1"/>
    <col min="9484" max="9484" width="4.7109375" bestFit="1" customWidth="1"/>
    <col min="9485" max="9486" width="12.85546875" bestFit="1" customWidth="1"/>
    <col min="9730" max="9730" width="4.140625" bestFit="1" customWidth="1"/>
    <col min="9731" max="9731" width="8.42578125" bestFit="1" customWidth="1"/>
    <col min="9732" max="9732" width="11.7109375" bestFit="1" customWidth="1"/>
    <col min="9733" max="9734" width="13.7109375" bestFit="1" customWidth="1"/>
    <col min="9735" max="9735" width="12.5703125" bestFit="1" customWidth="1"/>
    <col min="9736" max="9736" width="12.85546875" bestFit="1" customWidth="1"/>
    <col min="9737" max="9737" width="13.85546875" bestFit="1" customWidth="1"/>
    <col min="9738" max="9739" width="12.85546875" bestFit="1" customWidth="1"/>
    <col min="9740" max="9740" width="4.7109375" bestFit="1" customWidth="1"/>
    <col min="9741" max="9742" width="12.85546875" bestFit="1" customWidth="1"/>
    <col min="9986" max="9986" width="4.140625" bestFit="1" customWidth="1"/>
    <col min="9987" max="9987" width="8.42578125" bestFit="1" customWidth="1"/>
    <col min="9988" max="9988" width="11.7109375" bestFit="1" customWidth="1"/>
    <col min="9989" max="9990" width="13.7109375" bestFit="1" customWidth="1"/>
    <col min="9991" max="9991" width="12.5703125" bestFit="1" customWidth="1"/>
    <col min="9992" max="9992" width="12.85546875" bestFit="1" customWidth="1"/>
    <col min="9993" max="9993" width="13.85546875" bestFit="1" customWidth="1"/>
    <col min="9994" max="9995" width="12.85546875" bestFit="1" customWidth="1"/>
    <col min="9996" max="9996" width="4.7109375" bestFit="1" customWidth="1"/>
    <col min="9997" max="9998" width="12.85546875" bestFit="1" customWidth="1"/>
    <col min="10242" max="10242" width="4.140625" bestFit="1" customWidth="1"/>
    <col min="10243" max="10243" width="8.42578125" bestFit="1" customWidth="1"/>
    <col min="10244" max="10244" width="11.7109375" bestFit="1" customWidth="1"/>
    <col min="10245" max="10246" width="13.7109375" bestFit="1" customWidth="1"/>
    <col min="10247" max="10247" width="12.5703125" bestFit="1" customWidth="1"/>
    <col min="10248" max="10248" width="12.85546875" bestFit="1" customWidth="1"/>
    <col min="10249" max="10249" width="13.85546875" bestFit="1" customWidth="1"/>
    <col min="10250" max="10251" width="12.85546875" bestFit="1" customWidth="1"/>
    <col min="10252" max="10252" width="4.7109375" bestFit="1" customWidth="1"/>
    <col min="10253" max="10254" width="12.85546875" bestFit="1" customWidth="1"/>
    <col min="10498" max="10498" width="4.140625" bestFit="1" customWidth="1"/>
    <col min="10499" max="10499" width="8.42578125" bestFit="1" customWidth="1"/>
    <col min="10500" max="10500" width="11.7109375" bestFit="1" customWidth="1"/>
    <col min="10501" max="10502" width="13.7109375" bestFit="1" customWidth="1"/>
    <col min="10503" max="10503" width="12.5703125" bestFit="1" customWidth="1"/>
    <col min="10504" max="10504" width="12.85546875" bestFit="1" customWidth="1"/>
    <col min="10505" max="10505" width="13.85546875" bestFit="1" customWidth="1"/>
    <col min="10506" max="10507" width="12.85546875" bestFit="1" customWidth="1"/>
    <col min="10508" max="10508" width="4.7109375" bestFit="1" customWidth="1"/>
    <col min="10509" max="10510" width="12.85546875" bestFit="1" customWidth="1"/>
    <col min="10754" max="10754" width="4.140625" bestFit="1" customWidth="1"/>
    <col min="10755" max="10755" width="8.42578125" bestFit="1" customWidth="1"/>
    <col min="10756" max="10756" width="11.7109375" bestFit="1" customWidth="1"/>
    <col min="10757" max="10758" width="13.7109375" bestFit="1" customWidth="1"/>
    <col min="10759" max="10759" width="12.5703125" bestFit="1" customWidth="1"/>
    <col min="10760" max="10760" width="12.85546875" bestFit="1" customWidth="1"/>
    <col min="10761" max="10761" width="13.85546875" bestFit="1" customWidth="1"/>
    <col min="10762" max="10763" width="12.85546875" bestFit="1" customWidth="1"/>
    <col min="10764" max="10764" width="4.7109375" bestFit="1" customWidth="1"/>
    <col min="10765" max="10766" width="12.85546875" bestFit="1" customWidth="1"/>
    <col min="11010" max="11010" width="4.140625" bestFit="1" customWidth="1"/>
    <col min="11011" max="11011" width="8.42578125" bestFit="1" customWidth="1"/>
    <col min="11012" max="11012" width="11.7109375" bestFit="1" customWidth="1"/>
    <col min="11013" max="11014" width="13.7109375" bestFit="1" customWidth="1"/>
    <col min="11015" max="11015" width="12.5703125" bestFit="1" customWidth="1"/>
    <col min="11016" max="11016" width="12.85546875" bestFit="1" customWidth="1"/>
    <col min="11017" max="11017" width="13.85546875" bestFit="1" customWidth="1"/>
    <col min="11018" max="11019" width="12.85546875" bestFit="1" customWidth="1"/>
    <col min="11020" max="11020" width="4.7109375" bestFit="1" customWidth="1"/>
    <col min="11021" max="11022" width="12.85546875" bestFit="1" customWidth="1"/>
    <col min="11266" max="11266" width="4.140625" bestFit="1" customWidth="1"/>
    <col min="11267" max="11267" width="8.42578125" bestFit="1" customWidth="1"/>
    <col min="11268" max="11268" width="11.7109375" bestFit="1" customWidth="1"/>
    <col min="11269" max="11270" width="13.7109375" bestFit="1" customWidth="1"/>
    <col min="11271" max="11271" width="12.5703125" bestFit="1" customWidth="1"/>
    <col min="11272" max="11272" width="12.85546875" bestFit="1" customWidth="1"/>
    <col min="11273" max="11273" width="13.85546875" bestFit="1" customWidth="1"/>
    <col min="11274" max="11275" width="12.85546875" bestFit="1" customWidth="1"/>
    <col min="11276" max="11276" width="4.7109375" bestFit="1" customWidth="1"/>
    <col min="11277" max="11278" width="12.85546875" bestFit="1" customWidth="1"/>
    <col min="11522" max="11522" width="4.140625" bestFit="1" customWidth="1"/>
    <col min="11523" max="11523" width="8.42578125" bestFit="1" customWidth="1"/>
    <col min="11524" max="11524" width="11.7109375" bestFit="1" customWidth="1"/>
    <col min="11525" max="11526" width="13.7109375" bestFit="1" customWidth="1"/>
    <col min="11527" max="11527" width="12.5703125" bestFit="1" customWidth="1"/>
    <col min="11528" max="11528" width="12.85546875" bestFit="1" customWidth="1"/>
    <col min="11529" max="11529" width="13.85546875" bestFit="1" customWidth="1"/>
    <col min="11530" max="11531" width="12.85546875" bestFit="1" customWidth="1"/>
    <col min="11532" max="11532" width="4.7109375" bestFit="1" customWidth="1"/>
    <col min="11533" max="11534" width="12.85546875" bestFit="1" customWidth="1"/>
    <col min="11778" max="11778" width="4.140625" bestFit="1" customWidth="1"/>
    <col min="11779" max="11779" width="8.42578125" bestFit="1" customWidth="1"/>
    <col min="11780" max="11780" width="11.7109375" bestFit="1" customWidth="1"/>
    <col min="11781" max="11782" width="13.7109375" bestFit="1" customWidth="1"/>
    <col min="11783" max="11783" width="12.5703125" bestFit="1" customWidth="1"/>
    <col min="11784" max="11784" width="12.85546875" bestFit="1" customWidth="1"/>
    <col min="11785" max="11785" width="13.85546875" bestFit="1" customWidth="1"/>
    <col min="11786" max="11787" width="12.85546875" bestFit="1" customWidth="1"/>
    <col min="11788" max="11788" width="4.7109375" bestFit="1" customWidth="1"/>
    <col min="11789" max="11790" width="12.85546875" bestFit="1" customWidth="1"/>
    <col min="12034" max="12034" width="4.140625" bestFit="1" customWidth="1"/>
    <col min="12035" max="12035" width="8.42578125" bestFit="1" customWidth="1"/>
    <col min="12036" max="12036" width="11.7109375" bestFit="1" customWidth="1"/>
    <col min="12037" max="12038" width="13.7109375" bestFit="1" customWidth="1"/>
    <col min="12039" max="12039" width="12.5703125" bestFit="1" customWidth="1"/>
    <col min="12040" max="12040" width="12.85546875" bestFit="1" customWidth="1"/>
    <col min="12041" max="12041" width="13.85546875" bestFit="1" customWidth="1"/>
    <col min="12042" max="12043" width="12.85546875" bestFit="1" customWidth="1"/>
    <col min="12044" max="12044" width="4.7109375" bestFit="1" customWidth="1"/>
    <col min="12045" max="12046" width="12.85546875" bestFit="1" customWidth="1"/>
    <col min="12290" max="12290" width="4.140625" bestFit="1" customWidth="1"/>
    <col min="12291" max="12291" width="8.42578125" bestFit="1" customWidth="1"/>
    <col min="12292" max="12292" width="11.7109375" bestFit="1" customWidth="1"/>
    <col min="12293" max="12294" width="13.7109375" bestFit="1" customWidth="1"/>
    <col min="12295" max="12295" width="12.5703125" bestFit="1" customWidth="1"/>
    <col min="12296" max="12296" width="12.85546875" bestFit="1" customWidth="1"/>
    <col min="12297" max="12297" width="13.85546875" bestFit="1" customWidth="1"/>
    <col min="12298" max="12299" width="12.85546875" bestFit="1" customWidth="1"/>
    <col min="12300" max="12300" width="4.7109375" bestFit="1" customWidth="1"/>
    <col min="12301" max="12302" width="12.85546875" bestFit="1" customWidth="1"/>
    <col min="12546" max="12546" width="4.140625" bestFit="1" customWidth="1"/>
    <col min="12547" max="12547" width="8.42578125" bestFit="1" customWidth="1"/>
    <col min="12548" max="12548" width="11.7109375" bestFit="1" customWidth="1"/>
    <col min="12549" max="12550" width="13.7109375" bestFit="1" customWidth="1"/>
    <col min="12551" max="12551" width="12.5703125" bestFit="1" customWidth="1"/>
    <col min="12552" max="12552" width="12.85546875" bestFit="1" customWidth="1"/>
    <col min="12553" max="12553" width="13.85546875" bestFit="1" customWidth="1"/>
    <col min="12554" max="12555" width="12.85546875" bestFit="1" customWidth="1"/>
    <col min="12556" max="12556" width="4.7109375" bestFit="1" customWidth="1"/>
    <col min="12557" max="12558" width="12.85546875" bestFit="1" customWidth="1"/>
    <col min="12802" max="12802" width="4.140625" bestFit="1" customWidth="1"/>
    <col min="12803" max="12803" width="8.42578125" bestFit="1" customWidth="1"/>
    <col min="12804" max="12804" width="11.7109375" bestFit="1" customWidth="1"/>
    <col min="12805" max="12806" width="13.7109375" bestFit="1" customWidth="1"/>
    <col min="12807" max="12807" width="12.5703125" bestFit="1" customWidth="1"/>
    <col min="12808" max="12808" width="12.85546875" bestFit="1" customWidth="1"/>
    <col min="12809" max="12809" width="13.85546875" bestFit="1" customWidth="1"/>
    <col min="12810" max="12811" width="12.85546875" bestFit="1" customWidth="1"/>
    <col min="12812" max="12812" width="4.7109375" bestFit="1" customWidth="1"/>
    <col min="12813" max="12814" width="12.85546875" bestFit="1" customWidth="1"/>
    <col min="13058" max="13058" width="4.140625" bestFit="1" customWidth="1"/>
    <col min="13059" max="13059" width="8.42578125" bestFit="1" customWidth="1"/>
    <col min="13060" max="13060" width="11.7109375" bestFit="1" customWidth="1"/>
    <col min="13061" max="13062" width="13.7109375" bestFit="1" customWidth="1"/>
    <col min="13063" max="13063" width="12.5703125" bestFit="1" customWidth="1"/>
    <col min="13064" max="13064" width="12.85546875" bestFit="1" customWidth="1"/>
    <col min="13065" max="13065" width="13.85546875" bestFit="1" customWidth="1"/>
    <col min="13066" max="13067" width="12.85546875" bestFit="1" customWidth="1"/>
    <col min="13068" max="13068" width="4.7109375" bestFit="1" customWidth="1"/>
    <col min="13069" max="13070" width="12.85546875" bestFit="1" customWidth="1"/>
    <col min="13314" max="13314" width="4.140625" bestFit="1" customWidth="1"/>
    <col min="13315" max="13315" width="8.42578125" bestFit="1" customWidth="1"/>
    <col min="13316" max="13316" width="11.7109375" bestFit="1" customWidth="1"/>
    <col min="13317" max="13318" width="13.7109375" bestFit="1" customWidth="1"/>
    <col min="13319" max="13319" width="12.5703125" bestFit="1" customWidth="1"/>
    <col min="13320" max="13320" width="12.85546875" bestFit="1" customWidth="1"/>
    <col min="13321" max="13321" width="13.85546875" bestFit="1" customWidth="1"/>
    <col min="13322" max="13323" width="12.85546875" bestFit="1" customWidth="1"/>
    <col min="13324" max="13324" width="4.7109375" bestFit="1" customWidth="1"/>
    <col min="13325" max="13326" width="12.85546875" bestFit="1" customWidth="1"/>
    <col min="13570" max="13570" width="4.140625" bestFit="1" customWidth="1"/>
    <col min="13571" max="13571" width="8.42578125" bestFit="1" customWidth="1"/>
    <col min="13572" max="13572" width="11.7109375" bestFit="1" customWidth="1"/>
    <col min="13573" max="13574" width="13.7109375" bestFit="1" customWidth="1"/>
    <col min="13575" max="13575" width="12.5703125" bestFit="1" customWidth="1"/>
    <col min="13576" max="13576" width="12.85546875" bestFit="1" customWidth="1"/>
    <col min="13577" max="13577" width="13.85546875" bestFit="1" customWidth="1"/>
    <col min="13578" max="13579" width="12.85546875" bestFit="1" customWidth="1"/>
    <col min="13580" max="13580" width="4.7109375" bestFit="1" customWidth="1"/>
    <col min="13581" max="13582" width="12.85546875" bestFit="1" customWidth="1"/>
    <col min="13826" max="13826" width="4.140625" bestFit="1" customWidth="1"/>
    <col min="13827" max="13827" width="8.42578125" bestFit="1" customWidth="1"/>
    <col min="13828" max="13828" width="11.7109375" bestFit="1" customWidth="1"/>
    <col min="13829" max="13830" width="13.7109375" bestFit="1" customWidth="1"/>
    <col min="13831" max="13831" width="12.5703125" bestFit="1" customWidth="1"/>
    <col min="13832" max="13832" width="12.85546875" bestFit="1" customWidth="1"/>
    <col min="13833" max="13833" width="13.85546875" bestFit="1" customWidth="1"/>
    <col min="13834" max="13835" width="12.85546875" bestFit="1" customWidth="1"/>
    <col min="13836" max="13836" width="4.7109375" bestFit="1" customWidth="1"/>
    <col min="13837" max="13838" width="12.85546875" bestFit="1" customWidth="1"/>
    <col min="14082" max="14082" width="4.140625" bestFit="1" customWidth="1"/>
    <col min="14083" max="14083" width="8.42578125" bestFit="1" customWidth="1"/>
    <col min="14084" max="14084" width="11.7109375" bestFit="1" customWidth="1"/>
    <col min="14085" max="14086" width="13.7109375" bestFit="1" customWidth="1"/>
    <col min="14087" max="14087" width="12.5703125" bestFit="1" customWidth="1"/>
    <col min="14088" max="14088" width="12.85546875" bestFit="1" customWidth="1"/>
    <col min="14089" max="14089" width="13.85546875" bestFit="1" customWidth="1"/>
    <col min="14090" max="14091" width="12.85546875" bestFit="1" customWidth="1"/>
    <col min="14092" max="14092" width="4.7109375" bestFit="1" customWidth="1"/>
    <col min="14093" max="14094" width="12.85546875" bestFit="1" customWidth="1"/>
    <col min="14338" max="14338" width="4.140625" bestFit="1" customWidth="1"/>
    <col min="14339" max="14339" width="8.42578125" bestFit="1" customWidth="1"/>
    <col min="14340" max="14340" width="11.7109375" bestFit="1" customWidth="1"/>
    <col min="14341" max="14342" width="13.7109375" bestFit="1" customWidth="1"/>
    <col min="14343" max="14343" width="12.5703125" bestFit="1" customWidth="1"/>
    <col min="14344" max="14344" width="12.85546875" bestFit="1" customWidth="1"/>
    <col min="14345" max="14345" width="13.85546875" bestFit="1" customWidth="1"/>
    <col min="14346" max="14347" width="12.85546875" bestFit="1" customWidth="1"/>
    <col min="14348" max="14348" width="4.7109375" bestFit="1" customWidth="1"/>
    <col min="14349" max="14350" width="12.85546875" bestFit="1" customWidth="1"/>
    <col min="14594" max="14594" width="4.140625" bestFit="1" customWidth="1"/>
    <col min="14595" max="14595" width="8.42578125" bestFit="1" customWidth="1"/>
    <col min="14596" max="14596" width="11.7109375" bestFit="1" customWidth="1"/>
    <col min="14597" max="14598" width="13.7109375" bestFit="1" customWidth="1"/>
    <col min="14599" max="14599" width="12.5703125" bestFit="1" customWidth="1"/>
    <col min="14600" max="14600" width="12.85546875" bestFit="1" customWidth="1"/>
    <col min="14601" max="14601" width="13.85546875" bestFit="1" customWidth="1"/>
    <col min="14602" max="14603" width="12.85546875" bestFit="1" customWidth="1"/>
    <col min="14604" max="14604" width="4.7109375" bestFit="1" customWidth="1"/>
    <col min="14605" max="14606" width="12.85546875" bestFit="1" customWidth="1"/>
    <col min="14850" max="14850" width="4.140625" bestFit="1" customWidth="1"/>
    <col min="14851" max="14851" width="8.42578125" bestFit="1" customWidth="1"/>
    <col min="14852" max="14852" width="11.7109375" bestFit="1" customWidth="1"/>
    <col min="14853" max="14854" width="13.7109375" bestFit="1" customWidth="1"/>
    <col min="14855" max="14855" width="12.5703125" bestFit="1" customWidth="1"/>
    <col min="14856" max="14856" width="12.85546875" bestFit="1" customWidth="1"/>
    <col min="14857" max="14857" width="13.85546875" bestFit="1" customWidth="1"/>
    <col min="14858" max="14859" width="12.85546875" bestFit="1" customWidth="1"/>
    <col min="14860" max="14860" width="4.7109375" bestFit="1" customWidth="1"/>
    <col min="14861" max="14862" width="12.85546875" bestFit="1" customWidth="1"/>
    <col min="15106" max="15106" width="4.140625" bestFit="1" customWidth="1"/>
    <col min="15107" max="15107" width="8.42578125" bestFit="1" customWidth="1"/>
    <col min="15108" max="15108" width="11.7109375" bestFit="1" customWidth="1"/>
    <col min="15109" max="15110" width="13.7109375" bestFit="1" customWidth="1"/>
    <col min="15111" max="15111" width="12.5703125" bestFit="1" customWidth="1"/>
    <col min="15112" max="15112" width="12.85546875" bestFit="1" customWidth="1"/>
    <col min="15113" max="15113" width="13.85546875" bestFit="1" customWidth="1"/>
    <col min="15114" max="15115" width="12.85546875" bestFit="1" customWidth="1"/>
    <col min="15116" max="15116" width="4.7109375" bestFit="1" customWidth="1"/>
    <col min="15117" max="15118" width="12.85546875" bestFit="1" customWidth="1"/>
    <col min="15362" max="15362" width="4.140625" bestFit="1" customWidth="1"/>
    <col min="15363" max="15363" width="8.42578125" bestFit="1" customWidth="1"/>
    <col min="15364" max="15364" width="11.7109375" bestFit="1" customWidth="1"/>
    <col min="15365" max="15366" width="13.7109375" bestFit="1" customWidth="1"/>
    <col min="15367" max="15367" width="12.5703125" bestFit="1" customWidth="1"/>
    <col min="15368" max="15368" width="12.85546875" bestFit="1" customWidth="1"/>
    <col min="15369" max="15369" width="13.85546875" bestFit="1" customWidth="1"/>
    <col min="15370" max="15371" width="12.85546875" bestFit="1" customWidth="1"/>
    <col min="15372" max="15372" width="4.7109375" bestFit="1" customWidth="1"/>
    <col min="15373" max="15374" width="12.85546875" bestFit="1" customWidth="1"/>
    <col min="15618" max="15618" width="4.140625" bestFit="1" customWidth="1"/>
    <col min="15619" max="15619" width="8.42578125" bestFit="1" customWidth="1"/>
    <col min="15620" max="15620" width="11.7109375" bestFit="1" customWidth="1"/>
    <col min="15621" max="15622" width="13.7109375" bestFit="1" customWidth="1"/>
    <col min="15623" max="15623" width="12.5703125" bestFit="1" customWidth="1"/>
    <col min="15624" max="15624" width="12.85546875" bestFit="1" customWidth="1"/>
    <col min="15625" max="15625" width="13.85546875" bestFit="1" customWidth="1"/>
    <col min="15626" max="15627" width="12.85546875" bestFit="1" customWidth="1"/>
    <col min="15628" max="15628" width="4.7109375" bestFit="1" customWidth="1"/>
    <col min="15629" max="15630" width="12.85546875" bestFit="1" customWidth="1"/>
    <col min="15874" max="15874" width="4.140625" bestFit="1" customWidth="1"/>
    <col min="15875" max="15875" width="8.42578125" bestFit="1" customWidth="1"/>
    <col min="15876" max="15876" width="11.7109375" bestFit="1" customWidth="1"/>
    <col min="15877" max="15878" width="13.7109375" bestFit="1" customWidth="1"/>
    <col min="15879" max="15879" width="12.5703125" bestFit="1" customWidth="1"/>
    <col min="15880" max="15880" width="12.85546875" bestFit="1" customWidth="1"/>
    <col min="15881" max="15881" width="13.85546875" bestFit="1" customWidth="1"/>
    <col min="15882" max="15883" width="12.85546875" bestFit="1" customWidth="1"/>
    <col min="15884" max="15884" width="4.7109375" bestFit="1" customWidth="1"/>
    <col min="15885" max="15886" width="12.85546875" bestFit="1" customWidth="1"/>
    <col min="16130" max="16130" width="4.140625" bestFit="1" customWidth="1"/>
    <col min="16131" max="16131" width="8.42578125" bestFit="1" customWidth="1"/>
    <col min="16132" max="16132" width="11.7109375" bestFit="1" customWidth="1"/>
    <col min="16133" max="16134" width="13.7109375" bestFit="1" customWidth="1"/>
    <col min="16135" max="16135" width="12.5703125" bestFit="1" customWidth="1"/>
    <col min="16136" max="16136" width="12.85546875" bestFit="1" customWidth="1"/>
    <col min="16137" max="16137" width="13.85546875" bestFit="1" customWidth="1"/>
    <col min="16138" max="16139" width="12.85546875" bestFit="1" customWidth="1"/>
    <col min="16140" max="16140" width="4.7109375" bestFit="1" customWidth="1"/>
    <col min="16141" max="16142" width="12.85546875" bestFit="1" customWidth="1"/>
  </cols>
  <sheetData>
    <row r="1" spans="1:18">
      <c r="B1" s="64" t="s">
        <v>958</v>
      </c>
    </row>
    <row r="2" spans="1:18" s="69" customFormat="1" ht="11.25">
      <c r="H2" s="718" t="s">
        <v>719</v>
      </c>
      <c r="I2" s="718"/>
      <c r="J2" s="718"/>
      <c r="K2" s="718"/>
    </row>
    <row r="3" spans="1:18" s="1" customFormat="1" ht="12.75">
      <c r="A3" s="70" t="s">
        <v>136</v>
      </c>
      <c r="B3" s="71" t="s">
        <v>137</v>
      </c>
      <c r="C3" s="72" t="s">
        <v>721</v>
      </c>
      <c r="D3" s="72" t="s">
        <v>752</v>
      </c>
      <c r="E3" s="73" t="s">
        <v>753</v>
      </c>
      <c r="F3" s="72" t="s">
        <v>754</v>
      </c>
      <c r="G3" s="72" t="s">
        <v>755</v>
      </c>
      <c r="H3" s="72" t="s">
        <v>756</v>
      </c>
      <c r="I3" s="72" t="s">
        <v>757</v>
      </c>
      <c r="J3" s="72" t="s">
        <v>758</v>
      </c>
      <c r="K3" s="72" t="s">
        <v>759</v>
      </c>
      <c r="L3" s="72" t="s">
        <v>760</v>
      </c>
      <c r="M3" s="69"/>
      <c r="N3" s="69"/>
      <c r="O3" s="69"/>
      <c r="P3" s="69"/>
      <c r="Q3" s="69"/>
    </row>
    <row r="4" spans="1:18" s="1" customFormat="1" ht="11.25">
      <c r="A4" s="70">
        <v>1</v>
      </c>
      <c r="B4" s="74" t="s">
        <v>140</v>
      </c>
      <c r="C4" s="293">
        <f>Cruz!I11</f>
        <v>3876200</v>
      </c>
      <c r="D4" s="293">
        <v>2857731.98</v>
      </c>
      <c r="E4" s="76">
        <f>Cruz!G11</f>
        <v>2765750.01</v>
      </c>
      <c r="F4" s="77">
        <v>2721899.78</v>
      </c>
      <c r="G4" s="18">
        <f>E4-F4</f>
        <v>43850.229999999981</v>
      </c>
      <c r="H4" s="13">
        <v>2150.91</v>
      </c>
      <c r="I4" s="13">
        <v>2150.91</v>
      </c>
      <c r="J4" s="13"/>
      <c r="K4" s="13">
        <v>2150.91</v>
      </c>
      <c r="L4" s="13">
        <f>I4-K4</f>
        <v>0</v>
      </c>
      <c r="M4" s="373">
        <f>I4-(K4+L4)</f>
        <v>0</v>
      </c>
      <c r="N4" s="373"/>
      <c r="O4" s="373"/>
      <c r="P4" s="373"/>
      <c r="Q4" s="373"/>
      <c r="R4" s="373"/>
    </row>
    <row r="5" spans="1:18" s="1" customFormat="1" ht="11.25">
      <c r="A5" s="70">
        <v>2</v>
      </c>
      <c r="B5" s="74" t="s">
        <v>141</v>
      </c>
      <c r="C5" s="293">
        <f>Cruz!I12</f>
        <v>3020161.45</v>
      </c>
      <c r="D5" s="293">
        <v>1753151.93</v>
      </c>
      <c r="E5" s="76">
        <f>Cruz!G12</f>
        <v>1723195.9300000004</v>
      </c>
      <c r="F5" s="77">
        <v>1672708.79</v>
      </c>
      <c r="G5" s="18">
        <f t="shared" ref="G5:G17" si="0">E5-F5</f>
        <v>50487.140000000363</v>
      </c>
      <c r="H5" s="13">
        <v>430609.76</v>
      </c>
      <c r="I5" s="13">
        <v>430609.76</v>
      </c>
      <c r="J5" s="13"/>
      <c r="K5" s="13">
        <v>118297.23</v>
      </c>
      <c r="L5" s="13">
        <f>I5-K5</f>
        <v>312312.53000000003</v>
      </c>
      <c r="M5" s="373">
        <f>I5-(K5+L5)</f>
        <v>0</v>
      </c>
      <c r="N5" s="373">
        <f>312312.53-L5</f>
        <v>0</v>
      </c>
      <c r="O5" s="373"/>
      <c r="P5" s="373"/>
      <c r="Q5" s="373"/>
      <c r="R5" s="373"/>
    </row>
    <row r="6" spans="1:18" s="1" customFormat="1" ht="11.25">
      <c r="A6" s="70">
        <v>3</v>
      </c>
      <c r="B6" s="74" t="s">
        <v>142</v>
      </c>
      <c r="C6" s="293">
        <f>Cruz!I13</f>
        <v>1269691.6200000001</v>
      </c>
      <c r="D6" s="293">
        <v>602787.77</v>
      </c>
      <c r="E6" s="76">
        <f>Cruz!G13</f>
        <v>567080.37</v>
      </c>
      <c r="F6" s="77">
        <v>550769.26</v>
      </c>
      <c r="G6" s="18">
        <f t="shared" si="0"/>
        <v>16311.109999999986</v>
      </c>
      <c r="H6" s="13">
        <v>282751.59000000003</v>
      </c>
      <c r="I6" s="13">
        <v>247832.9</v>
      </c>
      <c r="J6" s="13"/>
      <c r="K6" s="13">
        <v>68259.289999999994</v>
      </c>
      <c r="L6" s="13">
        <f t="shared" ref="L6:L14" si="1">I6-K6</f>
        <v>179573.61</v>
      </c>
      <c r="M6" s="373">
        <f t="shared" ref="M6:M19" si="2">I6-(K6+L6)</f>
        <v>0</v>
      </c>
      <c r="N6" s="373">
        <f>179573.61-L6</f>
        <v>0</v>
      </c>
      <c r="O6" s="373"/>
      <c r="P6" s="373"/>
      <c r="Q6" s="373"/>
      <c r="R6" s="373"/>
    </row>
    <row r="7" spans="1:18" s="1" customFormat="1" ht="11.25">
      <c r="A7" s="70">
        <v>4</v>
      </c>
      <c r="B7" s="74" t="s">
        <v>143</v>
      </c>
      <c r="C7" s="293">
        <f>Cruz!I14</f>
        <v>1843204.8</v>
      </c>
      <c r="D7" s="293">
        <v>1357110.9</v>
      </c>
      <c r="E7" s="76">
        <f>Cruz!G14</f>
        <v>1339094.21</v>
      </c>
      <c r="F7" s="77">
        <v>1290560.1599999999</v>
      </c>
      <c r="G7" s="18">
        <f t="shared" si="0"/>
        <v>48534.050000000047</v>
      </c>
      <c r="H7" s="13">
        <v>597406.06999999995</v>
      </c>
      <c r="I7" s="13">
        <v>597265.67000000004</v>
      </c>
      <c r="J7" s="13">
        <v>140.4</v>
      </c>
      <c r="K7" s="13">
        <v>120992.46</v>
      </c>
      <c r="L7" s="13">
        <f t="shared" si="1"/>
        <v>476273.21</v>
      </c>
      <c r="M7" s="373">
        <f t="shared" si="2"/>
        <v>0</v>
      </c>
      <c r="N7" s="373">
        <f>476273.21-L7</f>
        <v>0</v>
      </c>
      <c r="O7" s="373"/>
      <c r="P7" s="373"/>
      <c r="Q7" s="373"/>
      <c r="R7" s="373"/>
    </row>
    <row r="8" spans="1:18" s="1" customFormat="1" ht="11.25">
      <c r="A8" s="70">
        <v>5</v>
      </c>
      <c r="B8" s="74" t="s">
        <v>144</v>
      </c>
      <c r="C8" s="293">
        <f>Cruz!I15</f>
        <v>8425165.6300000008</v>
      </c>
      <c r="D8" s="293">
        <v>6721062.3499999996</v>
      </c>
      <c r="E8" s="76">
        <f>Cruz!G15</f>
        <v>6662004.6399999987</v>
      </c>
      <c r="F8" s="77">
        <v>6153174.5300000003</v>
      </c>
      <c r="G8" s="18">
        <f t="shared" si="0"/>
        <v>508830.10999999847</v>
      </c>
      <c r="H8" s="13">
        <v>5985138.8899999997</v>
      </c>
      <c r="I8" s="13">
        <f>5924122.99+38828.3</f>
        <v>5962951.29</v>
      </c>
      <c r="J8" s="13"/>
      <c r="K8" s="13">
        <v>861447.88</v>
      </c>
      <c r="L8" s="13">
        <f>I8-K8</f>
        <v>5101503.41</v>
      </c>
      <c r="M8" s="373">
        <f t="shared" si="2"/>
        <v>0</v>
      </c>
      <c r="N8" s="373">
        <f>5101503.41-L8</f>
        <v>0</v>
      </c>
      <c r="O8" s="373"/>
      <c r="P8" s="373"/>
      <c r="Q8" s="373"/>
      <c r="R8" s="373"/>
    </row>
    <row r="9" spans="1:18" s="1" customFormat="1" ht="11.25">
      <c r="A9" s="70">
        <v>6</v>
      </c>
      <c r="B9" s="74" t="s">
        <v>145</v>
      </c>
      <c r="C9" s="293">
        <f>Cruz!I16</f>
        <v>3507551.94</v>
      </c>
      <c r="D9" s="293">
        <v>2669243.04</v>
      </c>
      <c r="E9" s="76">
        <f>Cruz!G16</f>
        <v>2518417.5099999998</v>
      </c>
      <c r="F9" s="77">
        <v>2424036.0499999998</v>
      </c>
      <c r="G9" s="18">
        <f t="shared" si="0"/>
        <v>94381.459999999963</v>
      </c>
      <c r="H9" s="13">
        <v>1143866.05</v>
      </c>
      <c r="I9" s="13">
        <v>1143866.05</v>
      </c>
      <c r="J9" s="13"/>
      <c r="K9" s="13">
        <v>301758.40000000002</v>
      </c>
      <c r="L9" s="13">
        <f t="shared" si="1"/>
        <v>842107.65</v>
      </c>
      <c r="M9" s="373">
        <f t="shared" si="2"/>
        <v>0</v>
      </c>
      <c r="N9" s="373">
        <f>842107.65-L9</f>
        <v>0</v>
      </c>
      <c r="O9" s="373"/>
      <c r="P9" s="373"/>
      <c r="Q9" s="373"/>
      <c r="R9" s="373"/>
    </row>
    <row r="10" spans="1:18" s="1" customFormat="1" ht="11.25">
      <c r="A10" s="70">
        <v>7</v>
      </c>
      <c r="B10" s="74" t="s">
        <v>146</v>
      </c>
      <c r="C10" s="293">
        <f>Cruz!I17</f>
        <v>1291167.76</v>
      </c>
      <c r="D10" s="293">
        <v>807054.42</v>
      </c>
      <c r="E10" s="76">
        <f>Cruz!G17</f>
        <v>721704.12</v>
      </c>
      <c r="F10" s="77">
        <v>654142.85</v>
      </c>
      <c r="G10" s="18">
        <f t="shared" si="0"/>
        <v>67561.270000000019</v>
      </c>
      <c r="H10" s="13">
        <v>220135.97</v>
      </c>
      <c r="I10" s="13">
        <v>220079.47</v>
      </c>
      <c r="J10" s="13"/>
      <c r="K10" s="13">
        <v>73502.820000000007</v>
      </c>
      <c r="L10" s="13">
        <f t="shared" si="1"/>
        <v>146576.65</v>
      </c>
      <c r="M10" s="373">
        <f t="shared" si="2"/>
        <v>0</v>
      </c>
      <c r="N10" s="373">
        <f>146576.65-L10</f>
        <v>0</v>
      </c>
      <c r="O10" s="373"/>
      <c r="P10" s="373"/>
      <c r="Q10" s="373"/>
      <c r="R10" s="373"/>
    </row>
    <row r="11" spans="1:18" s="1" customFormat="1" ht="11.25">
      <c r="A11" s="70">
        <v>8</v>
      </c>
      <c r="B11" s="74" t="s">
        <v>147</v>
      </c>
      <c r="C11" s="293">
        <f>Cruz!I18</f>
        <v>13362698.859999999</v>
      </c>
      <c r="D11" s="293">
        <v>9999955.4000000004</v>
      </c>
      <c r="E11" s="76">
        <f>Cruz!G18</f>
        <v>9262433.9899999984</v>
      </c>
      <c r="F11" s="77">
        <v>8559873.6099999994</v>
      </c>
      <c r="G11" s="18">
        <f t="shared" si="0"/>
        <v>702560.37999999896</v>
      </c>
      <c r="H11" s="13">
        <v>5336045.92</v>
      </c>
      <c r="I11" s="408">
        <v>3960661.3</v>
      </c>
      <c r="J11" s="13">
        <v>1088.1300000000001</v>
      </c>
      <c r="K11" s="13">
        <v>1496868.32</v>
      </c>
      <c r="L11" s="13">
        <f t="shared" si="1"/>
        <v>2463792.9799999995</v>
      </c>
      <c r="M11" s="373">
        <f t="shared" si="2"/>
        <v>0</v>
      </c>
      <c r="N11" s="373">
        <f>2463792.98-L11</f>
        <v>0</v>
      </c>
      <c r="O11" s="373"/>
      <c r="P11" s="373"/>
      <c r="Q11" s="373"/>
      <c r="R11" s="373"/>
    </row>
    <row r="12" spans="1:18" s="1" customFormat="1" ht="11.25">
      <c r="A12" s="70">
        <v>9</v>
      </c>
      <c r="B12" s="74" t="s">
        <v>148</v>
      </c>
      <c r="C12" s="293">
        <f>Cruz!I19</f>
        <v>45300972.890000001</v>
      </c>
      <c r="D12" s="293">
        <v>27490799.199999999</v>
      </c>
      <c r="E12" s="76">
        <f>Cruz!G19</f>
        <v>27181625.039999999</v>
      </c>
      <c r="F12" s="77">
        <v>25859687.23</v>
      </c>
      <c r="G12" s="18">
        <f t="shared" si="0"/>
        <v>1321937.8099999987</v>
      </c>
      <c r="H12" s="13">
        <v>5866343.0800000001</v>
      </c>
      <c r="I12" s="408">
        <f>5715370.28+49517.46</f>
        <v>5764887.7400000002</v>
      </c>
      <c r="J12" s="13">
        <v>7952.71</v>
      </c>
      <c r="K12" s="13">
        <v>1606212.48</v>
      </c>
      <c r="L12" s="13">
        <f>I12-K12</f>
        <v>4158675.2600000002</v>
      </c>
      <c r="M12" s="373">
        <f t="shared" si="2"/>
        <v>0</v>
      </c>
      <c r="N12" s="373">
        <f>4158675.26-L12</f>
        <v>0</v>
      </c>
      <c r="O12" s="373"/>
      <c r="P12" s="373"/>
      <c r="Q12" s="373"/>
      <c r="R12" s="373"/>
    </row>
    <row r="13" spans="1:18" s="1" customFormat="1" ht="11.25">
      <c r="A13" s="70">
        <v>10</v>
      </c>
      <c r="B13" s="74" t="s">
        <v>149</v>
      </c>
      <c r="C13" s="293">
        <f>Cruz!I20</f>
        <v>31135114.59</v>
      </c>
      <c r="D13" s="293">
        <v>24884430.329999998</v>
      </c>
      <c r="E13" s="76">
        <f>Cruz!G20</f>
        <v>23805519.440000001</v>
      </c>
      <c r="F13" s="77">
        <v>22324468.690000001</v>
      </c>
      <c r="G13" s="18">
        <f t="shared" si="0"/>
        <v>1481050.75</v>
      </c>
      <c r="H13" s="13">
        <v>7766012.7999999998</v>
      </c>
      <c r="I13" s="13">
        <v>7764842.7800000003</v>
      </c>
      <c r="J13" s="408">
        <f>742.69</f>
        <v>742.69</v>
      </c>
      <c r="K13" s="13">
        <v>2472256.91</v>
      </c>
      <c r="L13" s="13">
        <f t="shared" si="1"/>
        <v>5292585.87</v>
      </c>
      <c r="M13" s="373">
        <f t="shared" si="2"/>
        <v>0</v>
      </c>
      <c r="N13" s="373">
        <f>5292585.87-L13</f>
        <v>0</v>
      </c>
      <c r="O13" s="373"/>
      <c r="P13" s="373"/>
      <c r="Q13" s="373"/>
      <c r="R13" s="373"/>
    </row>
    <row r="14" spans="1:18" s="1" customFormat="1" ht="11.25">
      <c r="A14" s="70">
        <v>11</v>
      </c>
      <c r="B14" s="74" t="s">
        <v>150</v>
      </c>
      <c r="C14" s="293">
        <f>Cruz!I21</f>
        <v>4768609.05</v>
      </c>
      <c r="D14" s="293">
        <v>3402200.12</v>
      </c>
      <c r="E14" s="76">
        <f>Cruz!G21</f>
        <v>3214909.92</v>
      </c>
      <c r="F14" s="77">
        <v>3053277.19</v>
      </c>
      <c r="G14" s="18">
        <f t="shared" si="0"/>
        <v>161632.72999999998</v>
      </c>
      <c r="H14" s="13">
        <v>1003608.34</v>
      </c>
      <c r="I14" s="13">
        <v>1002924.31</v>
      </c>
      <c r="J14" s="13"/>
      <c r="K14" s="13">
        <v>280565.82</v>
      </c>
      <c r="L14" s="13">
        <f t="shared" si="1"/>
        <v>722358.49</v>
      </c>
      <c r="M14" s="373">
        <f t="shared" si="2"/>
        <v>0</v>
      </c>
      <c r="N14" s="373">
        <f>722358.49-L14</f>
        <v>0</v>
      </c>
      <c r="O14" s="373"/>
      <c r="P14" s="373"/>
      <c r="Q14" s="373"/>
      <c r="R14" s="373"/>
    </row>
    <row r="15" spans="1:18" s="1" customFormat="1" ht="11.25">
      <c r="A15" s="70">
        <v>12</v>
      </c>
      <c r="B15" s="74" t="s">
        <v>151</v>
      </c>
      <c r="C15" s="293">
        <f>Cruz!I22</f>
        <v>2371623.1</v>
      </c>
      <c r="D15" s="293">
        <v>1484549.52</v>
      </c>
      <c r="E15" s="76">
        <f>Cruz!G22</f>
        <v>1284679.94</v>
      </c>
      <c r="F15" s="77">
        <v>1071802.17</v>
      </c>
      <c r="G15" s="18">
        <f t="shared" si="0"/>
        <v>212877.77000000002</v>
      </c>
      <c r="H15" s="13">
        <v>386792.28</v>
      </c>
      <c r="I15" s="13">
        <v>385992.62</v>
      </c>
      <c r="J15" s="13">
        <v>495.16</v>
      </c>
      <c r="K15" s="13">
        <v>116220.16</v>
      </c>
      <c r="L15" s="13">
        <f>I15-K15</f>
        <v>269772.45999999996</v>
      </c>
      <c r="M15" s="373">
        <f t="shared" si="2"/>
        <v>0</v>
      </c>
      <c r="N15" s="373">
        <f>269772.46-L15</f>
        <v>0</v>
      </c>
      <c r="O15" s="373"/>
      <c r="P15" s="373"/>
      <c r="Q15" s="373"/>
      <c r="R15" s="373"/>
    </row>
    <row r="16" spans="1:18" s="1" customFormat="1" ht="11.25">
      <c r="A16" s="70">
        <v>13</v>
      </c>
      <c r="B16" s="74" t="s">
        <v>152</v>
      </c>
      <c r="C16" s="293">
        <f>Cruz!I23</f>
        <v>3034924.34</v>
      </c>
      <c r="D16" s="293">
        <v>2783334.51</v>
      </c>
      <c r="E16" s="76">
        <f>Cruz!G23</f>
        <v>2406006.92</v>
      </c>
      <c r="F16" s="77">
        <v>2353561.37</v>
      </c>
      <c r="G16" s="18">
        <f t="shared" si="0"/>
        <v>52445.549999999814</v>
      </c>
      <c r="H16" s="13">
        <v>336914.37</v>
      </c>
      <c r="I16" s="13">
        <v>334958.02</v>
      </c>
      <c r="J16" s="13">
        <v>986.83</v>
      </c>
      <c r="K16" s="13">
        <v>183117.25</v>
      </c>
      <c r="L16" s="408">
        <f>I16-K16</f>
        <v>151840.77000000002</v>
      </c>
      <c r="M16" s="373">
        <f t="shared" si="2"/>
        <v>0</v>
      </c>
      <c r="N16" s="373">
        <f>151840.77-L16</f>
        <v>0</v>
      </c>
      <c r="O16" s="373"/>
      <c r="P16" s="373"/>
      <c r="Q16" s="373"/>
      <c r="R16" s="373"/>
    </row>
    <row r="17" spans="1:18" s="1" customFormat="1" ht="11.25">
      <c r="A17" s="70">
        <v>15</v>
      </c>
      <c r="B17" s="74" t="s">
        <v>153</v>
      </c>
      <c r="C17" s="75">
        <f>Cruz!I25</f>
        <v>25810700.559999999</v>
      </c>
      <c r="D17" s="75">
        <v>18655063.460000001</v>
      </c>
      <c r="E17" s="76">
        <f>Cruz!G25</f>
        <v>18643681.760000002</v>
      </c>
      <c r="F17" s="77">
        <v>18640217.289999999</v>
      </c>
      <c r="G17" s="18">
        <f t="shared" si="0"/>
        <v>3464.4700000025332</v>
      </c>
      <c r="H17" s="13">
        <v>33584.9</v>
      </c>
      <c r="I17" s="13">
        <v>33584.9</v>
      </c>
      <c r="J17" s="13"/>
      <c r="K17" s="13">
        <v>654</v>
      </c>
      <c r="L17" s="13">
        <f>I17-K17</f>
        <v>32930.9</v>
      </c>
      <c r="M17" s="373">
        <f t="shared" si="2"/>
        <v>0</v>
      </c>
      <c r="N17" s="373">
        <f>32930.9-L17</f>
        <v>0</v>
      </c>
      <c r="O17" s="373"/>
      <c r="P17" s="373"/>
      <c r="Q17" s="373"/>
      <c r="R17" s="373"/>
    </row>
    <row r="18" spans="1:18" s="1" customFormat="1" ht="11.25">
      <c r="A18" s="70">
        <v>16</v>
      </c>
      <c r="B18" s="74" t="s">
        <v>154</v>
      </c>
      <c r="C18" s="75">
        <f>Cruz!I26</f>
        <v>6318211.3300000001</v>
      </c>
      <c r="D18" s="75">
        <v>6312769.5499999998</v>
      </c>
      <c r="E18" s="76">
        <f>Cruz!G26</f>
        <v>5229416.66</v>
      </c>
      <c r="F18" s="77">
        <v>5068257.75</v>
      </c>
      <c r="G18" s="18">
        <f>E18-F18</f>
        <v>161158.91000000015</v>
      </c>
      <c r="H18" s="13">
        <v>49278.400000000001</v>
      </c>
      <c r="I18" s="13">
        <v>49278.400000000001</v>
      </c>
      <c r="J18" s="13"/>
      <c r="K18" s="13">
        <v>49278.400000000001</v>
      </c>
      <c r="L18" s="13">
        <f>I18-K18</f>
        <v>0</v>
      </c>
      <c r="M18" s="373">
        <f t="shared" si="2"/>
        <v>0</v>
      </c>
      <c r="N18" s="373"/>
      <c r="O18" s="373"/>
      <c r="P18" s="373"/>
      <c r="Q18" s="373"/>
      <c r="R18" s="373"/>
    </row>
    <row r="19" spans="1:18" s="1" customFormat="1" ht="11.25">
      <c r="C19" s="393">
        <f t="shared" ref="C19:G19" si="3">SUM(C4:C18)</f>
        <v>155335997.92000002</v>
      </c>
      <c r="D19" s="393">
        <f t="shared" si="3"/>
        <v>111781244.48</v>
      </c>
      <c r="E19" s="400">
        <f>SUM(E4:E18)</f>
        <v>107325520.45999999</v>
      </c>
      <c r="F19" s="400">
        <f t="shared" si="3"/>
        <v>102398436.72</v>
      </c>
      <c r="G19" s="400">
        <f t="shared" si="3"/>
        <v>4927083.7399999993</v>
      </c>
      <c r="H19" s="462">
        <f>SUM(H4:H18)</f>
        <v>29440639.330000002</v>
      </c>
      <c r="I19" s="13">
        <f t="shared" ref="I19" si="4">SUM(I4:I18)</f>
        <v>27901886.120000001</v>
      </c>
      <c r="J19" s="13">
        <f t="shared" ref="J19" si="5">SUM(J4:J18)</f>
        <v>11405.92</v>
      </c>
      <c r="K19" s="462">
        <f t="shared" ref="K19" si="6">SUM(K4:K18)</f>
        <v>7751582.330000001</v>
      </c>
      <c r="L19" s="13">
        <f>SUM(L4:L18)</f>
        <v>20150303.789999995</v>
      </c>
      <c r="M19" s="373">
        <f t="shared" si="2"/>
        <v>0</v>
      </c>
      <c r="N19" s="373"/>
      <c r="O19" s="373"/>
      <c r="P19" s="373"/>
      <c r="Q19" s="373"/>
      <c r="R19" s="373"/>
    </row>
    <row r="20" spans="1:18" s="1" customFormat="1" ht="11.25">
      <c r="A20" s="5"/>
      <c r="B20" s="397" t="s">
        <v>238</v>
      </c>
      <c r="C20" s="13">
        <f>C19+Cruz!I24-Cruz!I27</f>
        <v>0</v>
      </c>
      <c r="D20" s="13">
        <f>111781244.48-D19</f>
        <v>0</v>
      </c>
      <c r="E20" s="77">
        <f>107325520.46-E19</f>
        <v>0</v>
      </c>
      <c r="F20" s="77">
        <f>102398436.72-F19</f>
        <v>0</v>
      </c>
      <c r="G20" s="77">
        <f>4927083.74-G19</f>
        <v>0</v>
      </c>
      <c r="H20" s="13">
        <f>29440639.33-H19</f>
        <v>0</v>
      </c>
      <c r="I20" s="13">
        <f>27901886.12-I19</f>
        <v>0</v>
      </c>
      <c r="J20" s="13">
        <f>11405.92-J19</f>
        <v>0</v>
      </c>
      <c r="K20" s="13">
        <f>7751582.33-K19</f>
        <v>0</v>
      </c>
      <c r="L20" s="13">
        <f>20150303.79-L19</f>
        <v>0</v>
      </c>
      <c r="M20" s="373"/>
      <c r="N20" s="373"/>
      <c r="O20" s="373"/>
      <c r="P20" s="373"/>
      <c r="Q20" s="373"/>
      <c r="R20" s="373"/>
    </row>
    <row r="21" spans="1:18" s="1" customFormat="1" ht="11.25">
      <c r="B21" s="80" t="s">
        <v>960</v>
      </c>
      <c r="E21" s="81"/>
      <c r="F21" s="81"/>
      <c r="G21" s="81"/>
      <c r="H21" s="388"/>
      <c r="I21" s="401"/>
      <c r="J21" s="392"/>
      <c r="K21" s="398"/>
      <c r="L21" s="392"/>
      <c r="M21" s="373"/>
      <c r="N21" s="373"/>
      <c r="O21" s="373"/>
      <c r="P21" s="373"/>
      <c r="Q21" s="373"/>
      <c r="R21" s="373"/>
    </row>
    <row r="22" spans="1:18" s="1" customFormat="1" ht="11.25">
      <c r="B22" s="388" t="s">
        <v>962</v>
      </c>
      <c r="E22" s="81"/>
      <c r="F22" s="81"/>
      <c r="G22" s="81"/>
      <c r="H22" s="388"/>
      <c r="I22" s="401"/>
      <c r="J22" s="388"/>
      <c r="K22" s="398"/>
      <c r="L22" s="392"/>
      <c r="M22" s="373"/>
      <c r="N22" s="373"/>
      <c r="O22" s="373"/>
      <c r="P22" s="373"/>
      <c r="Q22" s="373"/>
      <c r="R22" s="373"/>
    </row>
    <row r="23" spans="1:18" s="1" customFormat="1" ht="11.25">
      <c r="B23" s="82"/>
      <c r="E23" s="81"/>
      <c r="F23" s="84" t="s">
        <v>746</v>
      </c>
      <c r="G23" s="81"/>
      <c r="H23" s="388"/>
      <c r="I23" s="401"/>
      <c r="J23" s="388"/>
      <c r="K23" s="398"/>
      <c r="L23" s="392"/>
      <c r="M23" s="373"/>
      <c r="N23" s="373"/>
      <c r="O23" s="373"/>
      <c r="P23" s="373"/>
      <c r="Q23" s="373"/>
      <c r="R23" s="373"/>
    </row>
    <row r="24" spans="1:18" s="1" customFormat="1" ht="11.25">
      <c r="B24" s="82"/>
      <c r="E24" s="81"/>
      <c r="G24" s="81"/>
      <c r="H24" s="373">
        <f>29440639.33-H19</f>
        <v>0</v>
      </c>
      <c r="I24" s="388" t="s">
        <v>726</v>
      </c>
      <c r="M24" s="373"/>
      <c r="N24" s="373"/>
      <c r="O24" s="373"/>
      <c r="P24" s="373"/>
      <c r="Q24" s="373"/>
      <c r="R24" s="373"/>
    </row>
    <row r="25" spans="1:18" s="1" customFormat="1" ht="11.25">
      <c r="B25" s="82"/>
      <c r="E25" s="81"/>
      <c r="F25" s="81"/>
      <c r="G25" s="410" t="s">
        <v>858</v>
      </c>
      <c r="H25" s="405">
        <f>20054439.3-L19</f>
        <v>-95864.489999994636</v>
      </c>
      <c r="I25" s="1" t="s">
        <v>728</v>
      </c>
      <c r="J25" s="388"/>
      <c r="K25" s="388"/>
      <c r="L25" s="373"/>
      <c r="M25" s="373"/>
      <c r="N25" s="373"/>
      <c r="O25" s="373"/>
      <c r="P25" s="373"/>
      <c r="Q25" s="373"/>
      <c r="R25" s="373"/>
    </row>
    <row r="26" spans="1:18" s="1" customFormat="1" ht="11.25">
      <c r="B26" s="82"/>
      <c r="D26" s="388"/>
      <c r="E26" s="81">
        <f>1129516.18</f>
        <v>1129516.18</v>
      </c>
      <c r="F26" s="81"/>
      <c r="G26" s="399" t="s">
        <v>731</v>
      </c>
      <c r="H26" s="373">
        <f>6622066.15-K19</f>
        <v>-1129516.1800000006</v>
      </c>
      <c r="I26" s="388" t="s">
        <v>727</v>
      </c>
      <c r="J26" s="388"/>
      <c r="K26" s="388"/>
      <c r="L26" s="392">
        <f>K19+H26</f>
        <v>6622066.1500000004</v>
      </c>
      <c r="M26" s="373"/>
      <c r="N26" s="373"/>
      <c r="O26" s="373"/>
      <c r="P26" s="373"/>
      <c r="Q26" s="373"/>
      <c r="R26" s="373"/>
    </row>
    <row r="27" spans="1:18" s="1" customFormat="1" ht="12.75">
      <c r="B27" s="82"/>
      <c r="E27" s="390"/>
      <c r="F27" s="390"/>
      <c r="G27" s="402" t="s">
        <v>730</v>
      </c>
      <c r="H27" s="403">
        <f>3887.19-J19</f>
        <v>-7518.73</v>
      </c>
      <c r="I27" s="391" t="s">
        <v>729</v>
      </c>
      <c r="J27" s="391"/>
      <c r="K27" s="391"/>
      <c r="L27" s="404">
        <f>J19+H27</f>
        <v>3887.1900000000005</v>
      </c>
      <c r="M27" s="373"/>
      <c r="N27" s="373"/>
      <c r="O27" s="373"/>
      <c r="P27" s="373"/>
      <c r="Q27" s="373"/>
      <c r="R27" s="373"/>
    </row>
    <row r="28" spans="1:18" s="1" customFormat="1" ht="11.25">
      <c r="B28" s="82"/>
      <c r="E28" s="81"/>
      <c r="F28" s="81"/>
      <c r="G28" s="81"/>
      <c r="H28" s="373"/>
      <c r="I28" s="388"/>
      <c r="J28" s="388"/>
      <c r="K28" s="388"/>
      <c r="L28" s="392"/>
      <c r="M28" s="373"/>
      <c r="N28" s="373"/>
      <c r="O28" s="373"/>
      <c r="P28" s="373"/>
      <c r="Q28" s="373"/>
      <c r="R28" s="373"/>
    </row>
    <row r="29" spans="1:18">
      <c r="C29" s="83" t="s">
        <v>512</v>
      </c>
      <c r="D29" s="411" t="s">
        <v>749</v>
      </c>
      <c r="E29" s="371" t="s">
        <v>747</v>
      </c>
      <c r="F29" s="84" t="s">
        <v>748</v>
      </c>
      <c r="G29" s="372" t="s">
        <v>750</v>
      </c>
      <c r="H29" s="65" t="s">
        <v>751</v>
      </c>
      <c r="L29" s="386"/>
      <c r="M29" s="373"/>
      <c r="N29" s="373"/>
      <c r="O29" s="373"/>
      <c r="P29" s="373"/>
      <c r="Q29" s="373"/>
      <c r="R29" s="386"/>
    </row>
    <row r="30" spans="1:18">
      <c r="B30" s="85" t="s">
        <v>156</v>
      </c>
      <c r="C30" s="86">
        <f>Cruz!H16</f>
        <v>91169964.950000003</v>
      </c>
      <c r="D30" s="18">
        <f>SUM(D4:D16)</f>
        <v>86813411.469999999</v>
      </c>
      <c r="E30" s="18">
        <f>SUM(E4:E16)</f>
        <v>83452422.039999992</v>
      </c>
      <c r="F30" s="18">
        <f>SUM(F4:F16)</f>
        <v>78689961.680000007</v>
      </c>
      <c r="G30" s="396">
        <f>C30-F30</f>
        <v>12480003.269999996</v>
      </c>
      <c r="H30" s="78">
        <f>E30-F30</f>
        <v>4762460.3599999845</v>
      </c>
      <c r="L30" s="68"/>
    </row>
    <row r="31" spans="1:18">
      <c r="B31" s="85" t="s">
        <v>153</v>
      </c>
      <c r="C31" s="87">
        <f>Cruz!H25</f>
        <v>24802717.52</v>
      </c>
      <c r="D31" s="18">
        <f t="shared" ref="D31:F32" si="7">D17</f>
        <v>18655063.460000001</v>
      </c>
      <c r="E31" s="78">
        <f t="shared" si="7"/>
        <v>18643681.760000002</v>
      </c>
      <c r="F31" s="78">
        <f t="shared" si="7"/>
        <v>18640217.289999999</v>
      </c>
      <c r="G31" s="78">
        <f>C31-F31</f>
        <v>6162500.2300000004</v>
      </c>
      <c r="H31" s="78">
        <f>E31-F31</f>
        <v>3464.4700000025332</v>
      </c>
    </row>
    <row r="32" spans="1:18">
      <c r="B32" s="85" t="s">
        <v>154</v>
      </c>
      <c r="C32" s="204">
        <f>Cruz!H26</f>
        <v>3989015.48</v>
      </c>
      <c r="D32" s="18">
        <f t="shared" si="7"/>
        <v>6312769.5499999998</v>
      </c>
      <c r="E32" s="78">
        <f t="shared" si="7"/>
        <v>5229416.66</v>
      </c>
      <c r="F32" s="78">
        <f t="shared" si="7"/>
        <v>5068257.75</v>
      </c>
      <c r="G32" s="78">
        <f>C32-F32</f>
        <v>-1079242.27</v>
      </c>
      <c r="H32" s="78">
        <f>E32-F32</f>
        <v>161158.91000000015</v>
      </c>
    </row>
    <row r="33" spans="1:9">
      <c r="B33" s="85" t="s">
        <v>157</v>
      </c>
      <c r="C33" s="88">
        <f t="shared" ref="C33:H33" si="8">SUM(C30:C32)</f>
        <v>119961697.95</v>
      </c>
      <c r="D33" s="88">
        <f t="shared" si="8"/>
        <v>111781244.48</v>
      </c>
      <c r="E33" s="88">
        <f t="shared" si="8"/>
        <v>107325520.45999999</v>
      </c>
      <c r="F33" s="88">
        <f t="shared" si="8"/>
        <v>102398436.72</v>
      </c>
      <c r="G33" s="88">
        <f t="shared" si="8"/>
        <v>17563261.229999997</v>
      </c>
      <c r="H33" s="88">
        <f t="shared" si="8"/>
        <v>4927083.7399999872</v>
      </c>
    </row>
    <row r="34" spans="1:9" s="1" customFormat="1" ht="11.25">
      <c r="E34" s="81"/>
    </row>
    <row r="35" spans="1:9" s="1" customFormat="1" ht="11.25">
      <c r="E35" s="81"/>
    </row>
    <row r="36" spans="1:9" s="406" customFormat="1">
      <c r="B36"/>
      <c r="E36" s="66"/>
    </row>
    <row r="37" spans="1:9" s="406" customFormat="1">
      <c r="A37"/>
      <c r="E37" s="66"/>
    </row>
    <row r="38" spans="1:9" s="1" customFormat="1" ht="11.25">
      <c r="C38" s="55" t="s">
        <v>103</v>
      </c>
      <c r="F38" s="55" t="s">
        <v>104</v>
      </c>
      <c r="I38" s="413" t="s">
        <v>105</v>
      </c>
    </row>
    <row r="39" spans="1:9" s="1" customFormat="1" ht="11.25">
      <c r="C39" s="55" t="s">
        <v>106</v>
      </c>
      <c r="F39" s="55" t="s">
        <v>107</v>
      </c>
      <c r="I39" s="58" t="s">
        <v>108</v>
      </c>
    </row>
  </sheetData>
  <mergeCells count="1">
    <mergeCell ref="H2:K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X86"/>
  <sheetViews>
    <sheetView workbookViewId="0">
      <selection activeCell="E29" sqref="E29"/>
    </sheetView>
  </sheetViews>
  <sheetFormatPr defaultRowHeight="11.25"/>
  <cols>
    <col min="1" max="1" width="10.28515625" style="57" customWidth="1"/>
    <col min="2" max="2" width="10.42578125" style="57" customWidth="1"/>
    <col min="3" max="3" width="12.7109375" style="57" customWidth="1"/>
    <col min="4" max="4" width="11.28515625" style="57" customWidth="1"/>
    <col min="5" max="5" width="11" style="57" customWidth="1"/>
    <col min="6" max="6" width="11.7109375" style="57" customWidth="1"/>
    <col min="7" max="7" width="10.140625" style="57" customWidth="1"/>
    <col min="8" max="8" width="11.85546875" style="57" customWidth="1"/>
    <col min="9" max="9" width="11.42578125" style="57" customWidth="1"/>
    <col min="10" max="10" width="11.85546875" style="57" customWidth="1"/>
    <col min="11" max="11" width="11" style="57" customWidth="1"/>
    <col min="12" max="12" width="12" style="57" customWidth="1"/>
    <col min="13" max="13" width="12.85546875" style="57" bestFit="1" customWidth="1"/>
    <col min="14" max="14" width="13.85546875" style="57" customWidth="1"/>
    <col min="15" max="15" width="11.140625" style="57" bestFit="1" customWidth="1"/>
    <col min="16" max="16" width="12" style="57" bestFit="1" customWidth="1"/>
    <col min="17" max="17" width="10.85546875" style="57" customWidth="1"/>
    <col min="18" max="18" width="12.140625" style="57" customWidth="1"/>
    <col min="19" max="19" width="9.85546875" style="57" bestFit="1" customWidth="1"/>
    <col min="20" max="20" width="6.85546875" style="57" bestFit="1" customWidth="1"/>
    <col min="21" max="21" width="11.85546875" style="57" customWidth="1"/>
    <col min="22" max="22" width="8" style="57" customWidth="1"/>
    <col min="23" max="23" width="11.140625" style="57" bestFit="1" customWidth="1"/>
    <col min="24" max="256" width="9.140625" style="57"/>
    <col min="257" max="257" width="10.28515625" style="57" customWidth="1"/>
    <col min="258" max="258" width="10.42578125" style="57" customWidth="1"/>
    <col min="259" max="259" width="12.7109375" style="57" customWidth="1"/>
    <col min="260" max="260" width="11.28515625" style="57" customWidth="1"/>
    <col min="261" max="261" width="11.85546875" style="57" customWidth="1"/>
    <col min="262" max="262" width="11.7109375" style="57" customWidth="1"/>
    <col min="263" max="263" width="10.7109375" style="57" customWidth="1"/>
    <col min="264" max="264" width="11.85546875" style="57" customWidth="1"/>
    <col min="265" max="265" width="11.42578125" style="57" customWidth="1"/>
    <col min="266" max="266" width="12.28515625" style="57" customWidth="1"/>
    <col min="267" max="267" width="11" style="57" customWidth="1"/>
    <col min="268" max="268" width="12" style="57" customWidth="1"/>
    <col min="269" max="269" width="12.85546875" style="57" bestFit="1" customWidth="1"/>
    <col min="270" max="270" width="13.85546875" style="57" customWidth="1"/>
    <col min="271" max="271" width="4.85546875" style="57" bestFit="1" customWidth="1"/>
    <col min="272" max="272" width="12" style="57" bestFit="1" customWidth="1"/>
    <col min="273" max="273" width="10.28515625" style="57" bestFit="1" customWidth="1"/>
    <col min="274" max="274" width="12" style="57" bestFit="1" customWidth="1"/>
    <col min="275" max="275" width="12.5703125" style="57" bestFit="1" customWidth="1"/>
    <col min="276" max="276" width="12" style="57" bestFit="1" customWidth="1"/>
    <col min="277" max="278" width="11.7109375" style="57" bestFit="1" customWidth="1"/>
    <col min="279" max="279" width="11.140625" style="57" bestFit="1" customWidth="1"/>
    <col min="280" max="512" width="9.140625" style="57"/>
    <col min="513" max="513" width="10.28515625" style="57" customWidth="1"/>
    <col min="514" max="514" width="10.42578125" style="57" customWidth="1"/>
    <col min="515" max="515" width="12.7109375" style="57" customWidth="1"/>
    <col min="516" max="516" width="11.28515625" style="57" customWidth="1"/>
    <col min="517" max="517" width="11.85546875" style="57" customWidth="1"/>
    <col min="518" max="518" width="11.7109375" style="57" customWidth="1"/>
    <col min="519" max="519" width="10.7109375" style="57" customWidth="1"/>
    <col min="520" max="520" width="11.85546875" style="57" customWidth="1"/>
    <col min="521" max="521" width="11.42578125" style="57" customWidth="1"/>
    <col min="522" max="522" width="12.28515625" style="57" customWidth="1"/>
    <col min="523" max="523" width="11" style="57" customWidth="1"/>
    <col min="524" max="524" width="12" style="57" customWidth="1"/>
    <col min="525" max="525" width="12.85546875" style="57" bestFit="1" customWidth="1"/>
    <col min="526" max="526" width="13.85546875" style="57" customWidth="1"/>
    <col min="527" max="527" width="4.85546875" style="57" bestFit="1" customWidth="1"/>
    <col min="528" max="528" width="12" style="57" bestFit="1" customWidth="1"/>
    <col min="529" max="529" width="10.28515625" style="57" bestFit="1" customWidth="1"/>
    <col min="530" max="530" width="12" style="57" bestFit="1" customWidth="1"/>
    <col min="531" max="531" width="12.5703125" style="57" bestFit="1" customWidth="1"/>
    <col min="532" max="532" width="12" style="57" bestFit="1" customWidth="1"/>
    <col min="533" max="534" width="11.7109375" style="57" bestFit="1" customWidth="1"/>
    <col min="535" max="535" width="11.140625" style="57" bestFit="1" customWidth="1"/>
    <col min="536" max="768" width="9.140625" style="57"/>
    <col min="769" max="769" width="10.28515625" style="57" customWidth="1"/>
    <col min="770" max="770" width="10.42578125" style="57" customWidth="1"/>
    <col min="771" max="771" width="12.7109375" style="57" customWidth="1"/>
    <col min="772" max="772" width="11.28515625" style="57" customWidth="1"/>
    <col min="773" max="773" width="11.85546875" style="57" customWidth="1"/>
    <col min="774" max="774" width="11.7109375" style="57" customWidth="1"/>
    <col min="775" max="775" width="10.7109375" style="57" customWidth="1"/>
    <col min="776" max="776" width="11.85546875" style="57" customWidth="1"/>
    <col min="777" max="777" width="11.42578125" style="57" customWidth="1"/>
    <col min="778" max="778" width="12.28515625" style="57" customWidth="1"/>
    <col min="779" max="779" width="11" style="57" customWidth="1"/>
    <col min="780" max="780" width="12" style="57" customWidth="1"/>
    <col min="781" max="781" width="12.85546875" style="57" bestFit="1" customWidth="1"/>
    <col min="782" max="782" width="13.85546875" style="57" customWidth="1"/>
    <col min="783" max="783" width="4.85546875" style="57" bestFit="1" customWidth="1"/>
    <col min="784" max="784" width="12" style="57" bestFit="1" customWidth="1"/>
    <col min="785" max="785" width="10.28515625" style="57" bestFit="1" customWidth="1"/>
    <col min="786" max="786" width="12" style="57" bestFit="1" customWidth="1"/>
    <col min="787" max="787" width="12.5703125" style="57" bestFit="1" customWidth="1"/>
    <col min="788" max="788" width="12" style="57" bestFit="1" customWidth="1"/>
    <col min="789" max="790" width="11.7109375" style="57" bestFit="1" customWidth="1"/>
    <col min="791" max="791" width="11.140625" style="57" bestFit="1" customWidth="1"/>
    <col min="792" max="1024" width="9.140625" style="57"/>
    <col min="1025" max="1025" width="10.28515625" style="57" customWidth="1"/>
    <col min="1026" max="1026" width="10.42578125" style="57" customWidth="1"/>
    <col min="1027" max="1027" width="12.7109375" style="57" customWidth="1"/>
    <col min="1028" max="1028" width="11.28515625" style="57" customWidth="1"/>
    <col min="1029" max="1029" width="11.85546875" style="57" customWidth="1"/>
    <col min="1030" max="1030" width="11.7109375" style="57" customWidth="1"/>
    <col min="1031" max="1031" width="10.7109375" style="57" customWidth="1"/>
    <col min="1032" max="1032" width="11.85546875" style="57" customWidth="1"/>
    <col min="1033" max="1033" width="11.42578125" style="57" customWidth="1"/>
    <col min="1034" max="1034" width="12.28515625" style="57" customWidth="1"/>
    <col min="1035" max="1035" width="11" style="57" customWidth="1"/>
    <col min="1036" max="1036" width="12" style="57" customWidth="1"/>
    <col min="1037" max="1037" width="12.85546875" style="57" bestFit="1" customWidth="1"/>
    <col min="1038" max="1038" width="13.85546875" style="57" customWidth="1"/>
    <col min="1039" max="1039" width="4.85546875" style="57" bestFit="1" customWidth="1"/>
    <col min="1040" max="1040" width="12" style="57" bestFit="1" customWidth="1"/>
    <col min="1041" max="1041" width="10.28515625" style="57" bestFit="1" customWidth="1"/>
    <col min="1042" max="1042" width="12" style="57" bestFit="1" customWidth="1"/>
    <col min="1043" max="1043" width="12.5703125" style="57" bestFit="1" customWidth="1"/>
    <col min="1044" max="1044" width="12" style="57" bestFit="1" customWidth="1"/>
    <col min="1045" max="1046" width="11.7109375" style="57" bestFit="1" customWidth="1"/>
    <col min="1047" max="1047" width="11.140625" style="57" bestFit="1" customWidth="1"/>
    <col min="1048" max="1280" width="9.140625" style="57"/>
    <col min="1281" max="1281" width="10.28515625" style="57" customWidth="1"/>
    <col min="1282" max="1282" width="10.42578125" style="57" customWidth="1"/>
    <col min="1283" max="1283" width="12.7109375" style="57" customWidth="1"/>
    <col min="1284" max="1284" width="11.28515625" style="57" customWidth="1"/>
    <col min="1285" max="1285" width="11.85546875" style="57" customWidth="1"/>
    <col min="1286" max="1286" width="11.7109375" style="57" customWidth="1"/>
    <col min="1287" max="1287" width="10.7109375" style="57" customWidth="1"/>
    <col min="1288" max="1288" width="11.85546875" style="57" customWidth="1"/>
    <col min="1289" max="1289" width="11.42578125" style="57" customWidth="1"/>
    <col min="1290" max="1290" width="12.28515625" style="57" customWidth="1"/>
    <col min="1291" max="1291" width="11" style="57" customWidth="1"/>
    <col min="1292" max="1292" width="12" style="57" customWidth="1"/>
    <col min="1293" max="1293" width="12.85546875" style="57" bestFit="1" customWidth="1"/>
    <col min="1294" max="1294" width="13.85546875" style="57" customWidth="1"/>
    <col min="1295" max="1295" width="4.85546875" style="57" bestFit="1" customWidth="1"/>
    <col min="1296" max="1296" width="12" style="57" bestFit="1" customWidth="1"/>
    <col min="1297" max="1297" width="10.28515625" style="57" bestFit="1" customWidth="1"/>
    <col min="1298" max="1298" width="12" style="57" bestFit="1" customWidth="1"/>
    <col min="1299" max="1299" width="12.5703125" style="57" bestFit="1" customWidth="1"/>
    <col min="1300" max="1300" width="12" style="57" bestFit="1" customWidth="1"/>
    <col min="1301" max="1302" width="11.7109375" style="57" bestFit="1" customWidth="1"/>
    <col min="1303" max="1303" width="11.140625" style="57" bestFit="1" customWidth="1"/>
    <col min="1304" max="1536" width="9.140625" style="57"/>
    <col min="1537" max="1537" width="10.28515625" style="57" customWidth="1"/>
    <col min="1538" max="1538" width="10.42578125" style="57" customWidth="1"/>
    <col min="1539" max="1539" width="12.7109375" style="57" customWidth="1"/>
    <col min="1540" max="1540" width="11.28515625" style="57" customWidth="1"/>
    <col min="1541" max="1541" width="11.85546875" style="57" customWidth="1"/>
    <col min="1542" max="1542" width="11.7109375" style="57" customWidth="1"/>
    <col min="1543" max="1543" width="10.7109375" style="57" customWidth="1"/>
    <col min="1544" max="1544" width="11.85546875" style="57" customWidth="1"/>
    <col min="1545" max="1545" width="11.42578125" style="57" customWidth="1"/>
    <col min="1546" max="1546" width="12.28515625" style="57" customWidth="1"/>
    <col min="1547" max="1547" width="11" style="57" customWidth="1"/>
    <col min="1548" max="1548" width="12" style="57" customWidth="1"/>
    <col min="1549" max="1549" width="12.85546875" style="57" bestFit="1" customWidth="1"/>
    <col min="1550" max="1550" width="13.85546875" style="57" customWidth="1"/>
    <col min="1551" max="1551" width="4.85546875" style="57" bestFit="1" customWidth="1"/>
    <col min="1552" max="1552" width="12" style="57" bestFit="1" customWidth="1"/>
    <col min="1553" max="1553" width="10.28515625" style="57" bestFit="1" customWidth="1"/>
    <col min="1554" max="1554" width="12" style="57" bestFit="1" customWidth="1"/>
    <col min="1555" max="1555" width="12.5703125" style="57" bestFit="1" customWidth="1"/>
    <col min="1556" max="1556" width="12" style="57" bestFit="1" customWidth="1"/>
    <col min="1557" max="1558" width="11.7109375" style="57" bestFit="1" customWidth="1"/>
    <col min="1559" max="1559" width="11.140625" style="57" bestFit="1" customWidth="1"/>
    <col min="1560" max="1792" width="9.140625" style="57"/>
    <col min="1793" max="1793" width="10.28515625" style="57" customWidth="1"/>
    <col min="1794" max="1794" width="10.42578125" style="57" customWidth="1"/>
    <col min="1795" max="1795" width="12.7109375" style="57" customWidth="1"/>
    <col min="1796" max="1796" width="11.28515625" style="57" customWidth="1"/>
    <col min="1797" max="1797" width="11.85546875" style="57" customWidth="1"/>
    <col min="1798" max="1798" width="11.7109375" style="57" customWidth="1"/>
    <col min="1799" max="1799" width="10.7109375" style="57" customWidth="1"/>
    <col min="1800" max="1800" width="11.85546875" style="57" customWidth="1"/>
    <col min="1801" max="1801" width="11.42578125" style="57" customWidth="1"/>
    <col min="1802" max="1802" width="12.28515625" style="57" customWidth="1"/>
    <col min="1803" max="1803" width="11" style="57" customWidth="1"/>
    <col min="1804" max="1804" width="12" style="57" customWidth="1"/>
    <col min="1805" max="1805" width="12.85546875" style="57" bestFit="1" customWidth="1"/>
    <col min="1806" max="1806" width="13.85546875" style="57" customWidth="1"/>
    <col min="1807" max="1807" width="4.85546875" style="57" bestFit="1" customWidth="1"/>
    <col min="1808" max="1808" width="12" style="57" bestFit="1" customWidth="1"/>
    <col min="1809" max="1809" width="10.28515625" style="57" bestFit="1" customWidth="1"/>
    <col min="1810" max="1810" width="12" style="57" bestFit="1" customWidth="1"/>
    <col min="1811" max="1811" width="12.5703125" style="57" bestFit="1" customWidth="1"/>
    <col min="1812" max="1812" width="12" style="57" bestFit="1" customWidth="1"/>
    <col min="1813" max="1814" width="11.7109375" style="57" bestFit="1" customWidth="1"/>
    <col min="1815" max="1815" width="11.140625" style="57" bestFit="1" customWidth="1"/>
    <col min="1816" max="2048" width="9.140625" style="57"/>
    <col min="2049" max="2049" width="10.28515625" style="57" customWidth="1"/>
    <col min="2050" max="2050" width="10.42578125" style="57" customWidth="1"/>
    <col min="2051" max="2051" width="12.7109375" style="57" customWidth="1"/>
    <col min="2052" max="2052" width="11.28515625" style="57" customWidth="1"/>
    <col min="2053" max="2053" width="11.85546875" style="57" customWidth="1"/>
    <col min="2054" max="2054" width="11.7109375" style="57" customWidth="1"/>
    <col min="2055" max="2055" width="10.7109375" style="57" customWidth="1"/>
    <col min="2056" max="2056" width="11.85546875" style="57" customWidth="1"/>
    <col min="2057" max="2057" width="11.42578125" style="57" customWidth="1"/>
    <col min="2058" max="2058" width="12.28515625" style="57" customWidth="1"/>
    <col min="2059" max="2059" width="11" style="57" customWidth="1"/>
    <col min="2060" max="2060" width="12" style="57" customWidth="1"/>
    <col min="2061" max="2061" width="12.85546875" style="57" bestFit="1" customWidth="1"/>
    <col min="2062" max="2062" width="13.85546875" style="57" customWidth="1"/>
    <col min="2063" max="2063" width="4.85546875" style="57" bestFit="1" customWidth="1"/>
    <col min="2064" max="2064" width="12" style="57" bestFit="1" customWidth="1"/>
    <col min="2065" max="2065" width="10.28515625" style="57" bestFit="1" customWidth="1"/>
    <col min="2066" max="2066" width="12" style="57" bestFit="1" customWidth="1"/>
    <col min="2067" max="2067" width="12.5703125" style="57" bestFit="1" customWidth="1"/>
    <col min="2068" max="2068" width="12" style="57" bestFit="1" customWidth="1"/>
    <col min="2069" max="2070" width="11.7109375" style="57" bestFit="1" customWidth="1"/>
    <col min="2071" max="2071" width="11.140625" style="57" bestFit="1" customWidth="1"/>
    <col min="2072" max="2304" width="9.140625" style="57"/>
    <col min="2305" max="2305" width="10.28515625" style="57" customWidth="1"/>
    <col min="2306" max="2306" width="10.42578125" style="57" customWidth="1"/>
    <col min="2307" max="2307" width="12.7109375" style="57" customWidth="1"/>
    <col min="2308" max="2308" width="11.28515625" style="57" customWidth="1"/>
    <col min="2309" max="2309" width="11.85546875" style="57" customWidth="1"/>
    <col min="2310" max="2310" width="11.7109375" style="57" customWidth="1"/>
    <col min="2311" max="2311" width="10.7109375" style="57" customWidth="1"/>
    <col min="2312" max="2312" width="11.85546875" style="57" customWidth="1"/>
    <col min="2313" max="2313" width="11.42578125" style="57" customWidth="1"/>
    <col min="2314" max="2314" width="12.28515625" style="57" customWidth="1"/>
    <col min="2315" max="2315" width="11" style="57" customWidth="1"/>
    <col min="2316" max="2316" width="12" style="57" customWidth="1"/>
    <col min="2317" max="2317" width="12.85546875" style="57" bestFit="1" customWidth="1"/>
    <col min="2318" max="2318" width="13.85546875" style="57" customWidth="1"/>
    <col min="2319" max="2319" width="4.85546875" style="57" bestFit="1" customWidth="1"/>
    <col min="2320" max="2320" width="12" style="57" bestFit="1" customWidth="1"/>
    <col min="2321" max="2321" width="10.28515625" style="57" bestFit="1" customWidth="1"/>
    <col min="2322" max="2322" width="12" style="57" bestFit="1" customWidth="1"/>
    <col min="2323" max="2323" width="12.5703125" style="57" bestFit="1" customWidth="1"/>
    <col min="2324" max="2324" width="12" style="57" bestFit="1" customWidth="1"/>
    <col min="2325" max="2326" width="11.7109375" style="57" bestFit="1" customWidth="1"/>
    <col min="2327" max="2327" width="11.140625" style="57" bestFit="1" customWidth="1"/>
    <col min="2328" max="2560" width="9.140625" style="57"/>
    <col min="2561" max="2561" width="10.28515625" style="57" customWidth="1"/>
    <col min="2562" max="2562" width="10.42578125" style="57" customWidth="1"/>
    <col min="2563" max="2563" width="12.7109375" style="57" customWidth="1"/>
    <col min="2564" max="2564" width="11.28515625" style="57" customWidth="1"/>
    <col min="2565" max="2565" width="11.85546875" style="57" customWidth="1"/>
    <col min="2566" max="2566" width="11.7109375" style="57" customWidth="1"/>
    <col min="2567" max="2567" width="10.7109375" style="57" customWidth="1"/>
    <col min="2568" max="2568" width="11.85546875" style="57" customWidth="1"/>
    <col min="2569" max="2569" width="11.42578125" style="57" customWidth="1"/>
    <col min="2570" max="2570" width="12.28515625" style="57" customWidth="1"/>
    <col min="2571" max="2571" width="11" style="57" customWidth="1"/>
    <col min="2572" max="2572" width="12" style="57" customWidth="1"/>
    <col min="2573" max="2573" width="12.85546875" style="57" bestFit="1" customWidth="1"/>
    <col min="2574" max="2574" width="13.85546875" style="57" customWidth="1"/>
    <col min="2575" max="2575" width="4.85546875" style="57" bestFit="1" customWidth="1"/>
    <col min="2576" max="2576" width="12" style="57" bestFit="1" customWidth="1"/>
    <col min="2577" max="2577" width="10.28515625" style="57" bestFit="1" customWidth="1"/>
    <col min="2578" max="2578" width="12" style="57" bestFit="1" customWidth="1"/>
    <col min="2579" max="2579" width="12.5703125" style="57" bestFit="1" customWidth="1"/>
    <col min="2580" max="2580" width="12" style="57" bestFit="1" customWidth="1"/>
    <col min="2581" max="2582" width="11.7109375" style="57" bestFit="1" customWidth="1"/>
    <col min="2583" max="2583" width="11.140625" style="57" bestFit="1" customWidth="1"/>
    <col min="2584" max="2816" width="9.140625" style="57"/>
    <col min="2817" max="2817" width="10.28515625" style="57" customWidth="1"/>
    <col min="2818" max="2818" width="10.42578125" style="57" customWidth="1"/>
    <col min="2819" max="2819" width="12.7109375" style="57" customWidth="1"/>
    <col min="2820" max="2820" width="11.28515625" style="57" customWidth="1"/>
    <col min="2821" max="2821" width="11.85546875" style="57" customWidth="1"/>
    <col min="2822" max="2822" width="11.7109375" style="57" customWidth="1"/>
    <col min="2823" max="2823" width="10.7109375" style="57" customWidth="1"/>
    <col min="2824" max="2824" width="11.85546875" style="57" customWidth="1"/>
    <col min="2825" max="2825" width="11.42578125" style="57" customWidth="1"/>
    <col min="2826" max="2826" width="12.28515625" style="57" customWidth="1"/>
    <col min="2827" max="2827" width="11" style="57" customWidth="1"/>
    <col min="2828" max="2828" width="12" style="57" customWidth="1"/>
    <col min="2829" max="2829" width="12.85546875" style="57" bestFit="1" customWidth="1"/>
    <col min="2830" max="2830" width="13.85546875" style="57" customWidth="1"/>
    <col min="2831" max="2831" width="4.85546875" style="57" bestFit="1" customWidth="1"/>
    <col min="2832" max="2832" width="12" style="57" bestFit="1" customWidth="1"/>
    <col min="2833" max="2833" width="10.28515625" style="57" bestFit="1" customWidth="1"/>
    <col min="2834" max="2834" width="12" style="57" bestFit="1" customWidth="1"/>
    <col min="2835" max="2835" width="12.5703125" style="57" bestFit="1" customWidth="1"/>
    <col min="2836" max="2836" width="12" style="57" bestFit="1" customWidth="1"/>
    <col min="2837" max="2838" width="11.7109375" style="57" bestFit="1" customWidth="1"/>
    <col min="2839" max="2839" width="11.140625" style="57" bestFit="1" customWidth="1"/>
    <col min="2840" max="3072" width="9.140625" style="57"/>
    <col min="3073" max="3073" width="10.28515625" style="57" customWidth="1"/>
    <col min="3074" max="3074" width="10.42578125" style="57" customWidth="1"/>
    <col min="3075" max="3075" width="12.7109375" style="57" customWidth="1"/>
    <col min="3076" max="3076" width="11.28515625" style="57" customWidth="1"/>
    <col min="3077" max="3077" width="11.85546875" style="57" customWidth="1"/>
    <col min="3078" max="3078" width="11.7109375" style="57" customWidth="1"/>
    <col min="3079" max="3079" width="10.7109375" style="57" customWidth="1"/>
    <col min="3080" max="3080" width="11.85546875" style="57" customWidth="1"/>
    <col min="3081" max="3081" width="11.42578125" style="57" customWidth="1"/>
    <col min="3082" max="3082" width="12.28515625" style="57" customWidth="1"/>
    <col min="3083" max="3083" width="11" style="57" customWidth="1"/>
    <col min="3084" max="3084" width="12" style="57" customWidth="1"/>
    <col min="3085" max="3085" width="12.85546875" style="57" bestFit="1" customWidth="1"/>
    <col min="3086" max="3086" width="13.85546875" style="57" customWidth="1"/>
    <col min="3087" max="3087" width="4.85546875" style="57" bestFit="1" customWidth="1"/>
    <col min="3088" max="3088" width="12" style="57" bestFit="1" customWidth="1"/>
    <col min="3089" max="3089" width="10.28515625" style="57" bestFit="1" customWidth="1"/>
    <col min="3090" max="3090" width="12" style="57" bestFit="1" customWidth="1"/>
    <col min="3091" max="3091" width="12.5703125" style="57" bestFit="1" customWidth="1"/>
    <col min="3092" max="3092" width="12" style="57" bestFit="1" customWidth="1"/>
    <col min="3093" max="3094" width="11.7109375" style="57" bestFit="1" customWidth="1"/>
    <col min="3095" max="3095" width="11.140625" style="57" bestFit="1" customWidth="1"/>
    <col min="3096" max="3328" width="9.140625" style="57"/>
    <col min="3329" max="3329" width="10.28515625" style="57" customWidth="1"/>
    <col min="3330" max="3330" width="10.42578125" style="57" customWidth="1"/>
    <col min="3331" max="3331" width="12.7109375" style="57" customWidth="1"/>
    <col min="3332" max="3332" width="11.28515625" style="57" customWidth="1"/>
    <col min="3333" max="3333" width="11.85546875" style="57" customWidth="1"/>
    <col min="3334" max="3334" width="11.7109375" style="57" customWidth="1"/>
    <col min="3335" max="3335" width="10.7109375" style="57" customWidth="1"/>
    <col min="3336" max="3336" width="11.85546875" style="57" customWidth="1"/>
    <col min="3337" max="3337" width="11.42578125" style="57" customWidth="1"/>
    <col min="3338" max="3338" width="12.28515625" style="57" customWidth="1"/>
    <col min="3339" max="3339" width="11" style="57" customWidth="1"/>
    <col min="3340" max="3340" width="12" style="57" customWidth="1"/>
    <col min="3341" max="3341" width="12.85546875" style="57" bestFit="1" customWidth="1"/>
    <col min="3342" max="3342" width="13.85546875" style="57" customWidth="1"/>
    <col min="3343" max="3343" width="4.85546875" style="57" bestFit="1" customWidth="1"/>
    <col min="3344" max="3344" width="12" style="57" bestFit="1" customWidth="1"/>
    <col min="3345" max="3345" width="10.28515625" style="57" bestFit="1" customWidth="1"/>
    <col min="3346" max="3346" width="12" style="57" bestFit="1" customWidth="1"/>
    <col min="3347" max="3347" width="12.5703125" style="57" bestFit="1" customWidth="1"/>
    <col min="3348" max="3348" width="12" style="57" bestFit="1" customWidth="1"/>
    <col min="3349" max="3350" width="11.7109375" style="57" bestFit="1" customWidth="1"/>
    <col min="3351" max="3351" width="11.140625" style="57" bestFit="1" customWidth="1"/>
    <col min="3352" max="3584" width="9.140625" style="57"/>
    <col min="3585" max="3585" width="10.28515625" style="57" customWidth="1"/>
    <col min="3586" max="3586" width="10.42578125" style="57" customWidth="1"/>
    <col min="3587" max="3587" width="12.7109375" style="57" customWidth="1"/>
    <col min="3588" max="3588" width="11.28515625" style="57" customWidth="1"/>
    <col min="3589" max="3589" width="11.85546875" style="57" customWidth="1"/>
    <col min="3590" max="3590" width="11.7109375" style="57" customWidth="1"/>
    <col min="3591" max="3591" width="10.7109375" style="57" customWidth="1"/>
    <col min="3592" max="3592" width="11.85546875" style="57" customWidth="1"/>
    <col min="3593" max="3593" width="11.42578125" style="57" customWidth="1"/>
    <col min="3594" max="3594" width="12.28515625" style="57" customWidth="1"/>
    <col min="3595" max="3595" width="11" style="57" customWidth="1"/>
    <col min="3596" max="3596" width="12" style="57" customWidth="1"/>
    <col min="3597" max="3597" width="12.85546875" style="57" bestFit="1" customWidth="1"/>
    <col min="3598" max="3598" width="13.85546875" style="57" customWidth="1"/>
    <col min="3599" max="3599" width="4.85546875" style="57" bestFit="1" customWidth="1"/>
    <col min="3600" max="3600" width="12" style="57" bestFit="1" customWidth="1"/>
    <col min="3601" max="3601" width="10.28515625" style="57" bestFit="1" customWidth="1"/>
    <col min="3602" max="3602" width="12" style="57" bestFit="1" customWidth="1"/>
    <col min="3603" max="3603" width="12.5703125" style="57" bestFit="1" customWidth="1"/>
    <col min="3604" max="3604" width="12" style="57" bestFit="1" customWidth="1"/>
    <col min="3605" max="3606" width="11.7109375" style="57" bestFit="1" customWidth="1"/>
    <col min="3607" max="3607" width="11.140625" style="57" bestFit="1" customWidth="1"/>
    <col min="3608" max="3840" width="9.140625" style="57"/>
    <col min="3841" max="3841" width="10.28515625" style="57" customWidth="1"/>
    <col min="3842" max="3842" width="10.42578125" style="57" customWidth="1"/>
    <col min="3843" max="3843" width="12.7109375" style="57" customWidth="1"/>
    <col min="3844" max="3844" width="11.28515625" style="57" customWidth="1"/>
    <col min="3845" max="3845" width="11.85546875" style="57" customWidth="1"/>
    <col min="3846" max="3846" width="11.7109375" style="57" customWidth="1"/>
    <col min="3847" max="3847" width="10.7109375" style="57" customWidth="1"/>
    <col min="3848" max="3848" width="11.85546875" style="57" customWidth="1"/>
    <col min="3849" max="3849" width="11.42578125" style="57" customWidth="1"/>
    <col min="3850" max="3850" width="12.28515625" style="57" customWidth="1"/>
    <col min="3851" max="3851" width="11" style="57" customWidth="1"/>
    <col min="3852" max="3852" width="12" style="57" customWidth="1"/>
    <col min="3853" max="3853" width="12.85546875" style="57" bestFit="1" customWidth="1"/>
    <col min="3854" max="3854" width="13.85546875" style="57" customWidth="1"/>
    <col min="3855" max="3855" width="4.85546875" style="57" bestFit="1" customWidth="1"/>
    <col min="3856" max="3856" width="12" style="57" bestFit="1" customWidth="1"/>
    <col min="3857" max="3857" width="10.28515625" style="57" bestFit="1" customWidth="1"/>
    <col min="3858" max="3858" width="12" style="57" bestFit="1" customWidth="1"/>
    <col min="3859" max="3859" width="12.5703125" style="57" bestFit="1" customWidth="1"/>
    <col min="3860" max="3860" width="12" style="57" bestFit="1" customWidth="1"/>
    <col min="3861" max="3862" width="11.7109375" style="57" bestFit="1" customWidth="1"/>
    <col min="3863" max="3863" width="11.140625" style="57" bestFit="1" customWidth="1"/>
    <col min="3864" max="4096" width="9.140625" style="57"/>
    <col min="4097" max="4097" width="10.28515625" style="57" customWidth="1"/>
    <col min="4098" max="4098" width="10.42578125" style="57" customWidth="1"/>
    <col min="4099" max="4099" width="12.7109375" style="57" customWidth="1"/>
    <col min="4100" max="4100" width="11.28515625" style="57" customWidth="1"/>
    <col min="4101" max="4101" width="11.85546875" style="57" customWidth="1"/>
    <col min="4102" max="4102" width="11.7109375" style="57" customWidth="1"/>
    <col min="4103" max="4103" width="10.7109375" style="57" customWidth="1"/>
    <col min="4104" max="4104" width="11.85546875" style="57" customWidth="1"/>
    <col min="4105" max="4105" width="11.42578125" style="57" customWidth="1"/>
    <col min="4106" max="4106" width="12.28515625" style="57" customWidth="1"/>
    <col min="4107" max="4107" width="11" style="57" customWidth="1"/>
    <col min="4108" max="4108" width="12" style="57" customWidth="1"/>
    <col min="4109" max="4109" width="12.85546875" style="57" bestFit="1" customWidth="1"/>
    <col min="4110" max="4110" width="13.85546875" style="57" customWidth="1"/>
    <col min="4111" max="4111" width="4.85546875" style="57" bestFit="1" customWidth="1"/>
    <col min="4112" max="4112" width="12" style="57" bestFit="1" customWidth="1"/>
    <col min="4113" max="4113" width="10.28515625" style="57" bestFit="1" customWidth="1"/>
    <col min="4114" max="4114" width="12" style="57" bestFit="1" customWidth="1"/>
    <col min="4115" max="4115" width="12.5703125" style="57" bestFit="1" customWidth="1"/>
    <col min="4116" max="4116" width="12" style="57" bestFit="1" customWidth="1"/>
    <col min="4117" max="4118" width="11.7109375" style="57" bestFit="1" customWidth="1"/>
    <col min="4119" max="4119" width="11.140625" style="57" bestFit="1" customWidth="1"/>
    <col min="4120" max="4352" width="9.140625" style="57"/>
    <col min="4353" max="4353" width="10.28515625" style="57" customWidth="1"/>
    <col min="4354" max="4354" width="10.42578125" style="57" customWidth="1"/>
    <col min="4355" max="4355" width="12.7109375" style="57" customWidth="1"/>
    <col min="4356" max="4356" width="11.28515625" style="57" customWidth="1"/>
    <col min="4357" max="4357" width="11.85546875" style="57" customWidth="1"/>
    <col min="4358" max="4358" width="11.7109375" style="57" customWidth="1"/>
    <col min="4359" max="4359" width="10.7109375" style="57" customWidth="1"/>
    <col min="4360" max="4360" width="11.85546875" style="57" customWidth="1"/>
    <col min="4361" max="4361" width="11.42578125" style="57" customWidth="1"/>
    <col min="4362" max="4362" width="12.28515625" style="57" customWidth="1"/>
    <col min="4363" max="4363" width="11" style="57" customWidth="1"/>
    <col min="4364" max="4364" width="12" style="57" customWidth="1"/>
    <col min="4365" max="4365" width="12.85546875" style="57" bestFit="1" customWidth="1"/>
    <col min="4366" max="4366" width="13.85546875" style="57" customWidth="1"/>
    <col min="4367" max="4367" width="4.85546875" style="57" bestFit="1" customWidth="1"/>
    <col min="4368" max="4368" width="12" style="57" bestFit="1" customWidth="1"/>
    <col min="4369" max="4369" width="10.28515625" style="57" bestFit="1" customWidth="1"/>
    <col min="4370" max="4370" width="12" style="57" bestFit="1" customWidth="1"/>
    <col min="4371" max="4371" width="12.5703125" style="57" bestFit="1" customWidth="1"/>
    <col min="4372" max="4372" width="12" style="57" bestFit="1" customWidth="1"/>
    <col min="4373" max="4374" width="11.7109375" style="57" bestFit="1" customWidth="1"/>
    <col min="4375" max="4375" width="11.140625" style="57" bestFit="1" customWidth="1"/>
    <col min="4376" max="4608" width="9.140625" style="57"/>
    <col min="4609" max="4609" width="10.28515625" style="57" customWidth="1"/>
    <col min="4610" max="4610" width="10.42578125" style="57" customWidth="1"/>
    <col min="4611" max="4611" width="12.7109375" style="57" customWidth="1"/>
    <col min="4612" max="4612" width="11.28515625" style="57" customWidth="1"/>
    <col min="4613" max="4613" width="11.85546875" style="57" customWidth="1"/>
    <col min="4614" max="4614" width="11.7109375" style="57" customWidth="1"/>
    <col min="4615" max="4615" width="10.7109375" style="57" customWidth="1"/>
    <col min="4616" max="4616" width="11.85546875" style="57" customWidth="1"/>
    <col min="4617" max="4617" width="11.42578125" style="57" customWidth="1"/>
    <col min="4618" max="4618" width="12.28515625" style="57" customWidth="1"/>
    <col min="4619" max="4619" width="11" style="57" customWidth="1"/>
    <col min="4620" max="4620" width="12" style="57" customWidth="1"/>
    <col min="4621" max="4621" width="12.85546875" style="57" bestFit="1" customWidth="1"/>
    <col min="4622" max="4622" width="13.85546875" style="57" customWidth="1"/>
    <col min="4623" max="4623" width="4.85546875" style="57" bestFit="1" customWidth="1"/>
    <col min="4624" max="4624" width="12" style="57" bestFit="1" customWidth="1"/>
    <col min="4625" max="4625" width="10.28515625" style="57" bestFit="1" customWidth="1"/>
    <col min="4626" max="4626" width="12" style="57" bestFit="1" customWidth="1"/>
    <col min="4627" max="4627" width="12.5703125" style="57" bestFit="1" customWidth="1"/>
    <col min="4628" max="4628" width="12" style="57" bestFit="1" customWidth="1"/>
    <col min="4629" max="4630" width="11.7109375" style="57" bestFit="1" customWidth="1"/>
    <col min="4631" max="4631" width="11.140625" style="57" bestFit="1" customWidth="1"/>
    <col min="4632" max="4864" width="9.140625" style="57"/>
    <col min="4865" max="4865" width="10.28515625" style="57" customWidth="1"/>
    <col min="4866" max="4866" width="10.42578125" style="57" customWidth="1"/>
    <col min="4867" max="4867" width="12.7109375" style="57" customWidth="1"/>
    <col min="4868" max="4868" width="11.28515625" style="57" customWidth="1"/>
    <col min="4869" max="4869" width="11.85546875" style="57" customWidth="1"/>
    <col min="4870" max="4870" width="11.7109375" style="57" customWidth="1"/>
    <col min="4871" max="4871" width="10.7109375" style="57" customWidth="1"/>
    <col min="4872" max="4872" width="11.85546875" style="57" customWidth="1"/>
    <col min="4873" max="4873" width="11.42578125" style="57" customWidth="1"/>
    <col min="4874" max="4874" width="12.28515625" style="57" customWidth="1"/>
    <col min="4875" max="4875" width="11" style="57" customWidth="1"/>
    <col min="4876" max="4876" width="12" style="57" customWidth="1"/>
    <col min="4877" max="4877" width="12.85546875" style="57" bestFit="1" customWidth="1"/>
    <col min="4878" max="4878" width="13.85546875" style="57" customWidth="1"/>
    <col min="4879" max="4879" width="4.85546875" style="57" bestFit="1" customWidth="1"/>
    <col min="4880" max="4880" width="12" style="57" bestFit="1" customWidth="1"/>
    <col min="4881" max="4881" width="10.28515625" style="57" bestFit="1" customWidth="1"/>
    <col min="4882" max="4882" width="12" style="57" bestFit="1" customWidth="1"/>
    <col min="4883" max="4883" width="12.5703125" style="57" bestFit="1" customWidth="1"/>
    <col min="4884" max="4884" width="12" style="57" bestFit="1" customWidth="1"/>
    <col min="4885" max="4886" width="11.7109375" style="57" bestFit="1" customWidth="1"/>
    <col min="4887" max="4887" width="11.140625" style="57" bestFit="1" customWidth="1"/>
    <col min="4888" max="5120" width="9.140625" style="57"/>
    <col min="5121" max="5121" width="10.28515625" style="57" customWidth="1"/>
    <col min="5122" max="5122" width="10.42578125" style="57" customWidth="1"/>
    <col min="5123" max="5123" width="12.7109375" style="57" customWidth="1"/>
    <col min="5124" max="5124" width="11.28515625" style="57" customWidth="1"/>
    <col min="5125" max="5125" width="11.85546875" style="57" customWidth="1"/>
    <col min="5126" max="5126" width="11.7109375" style="57" customWidth="1"/>
    <col min="5127" max="5127" width="10.7109375" style="57" customWidth="1"/>
    <col min="5128" max="5128" width="11.85546875" style="57" customWidth="1"/>
    <col min="5129" max="5129" width="11.42578125" style="57" customWidth="1"/>
    <col min="5130" max="5130" width="12.28515625" style="57" customWidth="1"/>
    <col min="5131" max="5131" width="11" style="57" customWidth="1"/>
    <col min="5132" max="5132" width="12" style="57" customWidth="1"/>
    <col min="5133" max="5133" width="12.85546875" style="57" bestFit="1" customWidth="1"/>
    <col min="5134" max="5134" width="13.85546875" style="57" customWidth="1"/>
    <col min="5135" max="5135" width="4.85546875" style="57" bestFit="1" customWidth="1"/>
    <col min="5136" max="5136" width="12" style="57" bestFit="1" customWidth="1"/>
    <col min="5137" max="5137" width="10.28515625" style="57" bestFit="1" customWidth="1"/>
    <col min="5138" max="5138" width="12" style="57" bestFit="1" customWidth="1"/>
    <col min="5139" max="5139" width="12.5703125" style="57" bestFit="1" customWidth="1"/>
    <col min="5140" max="5140" width="12" style="57" bestFit="1" customWidth="1"/>
    <col min="5141" max="5142" width="11.7109375" style="57" bestFit="1" customWidth="1"/>
    <col min="5143" max="5143" width="11.140625" style="57" bestFit="1" customWidth="1"/>
    <col min="5144" max="5376" width="9.140625" style="57"/>
    <col min="5377" max="5377" width="10.28515625" style="57" customWidth="1"/>
    <col min="5378" max="5378" width="10.42578125" style="57" customWidth="1"/>
    <col min="5379" max="5379" width="12.7109375" style="57" customWidth="1"/>
    <col min="5380" max="5380" width="11.28515625" style="57" customWidth="1"/>
    <col min="5381" max="5381" width="11.85546875" style="57" customWidth="1"/>
    <col min="5382" max="5382" width="11.7109375" style="57" customWidth="1"/>
    <col min="5383" max="5383" width="10.7109375" style="57" customWidth="1"/>
    <col min="5384" max="5384" width="11.85546875" style="57" customWidth="1"/>
    <col min="5385" max="5385" width="11.42578125" style="57" customWidth="1"/>
    <col min="5386" max="5386" width="12.28515625" style="57" customWidth="1"/>
    <col min="5387" max="5387" width="11" style="57" customWidth="1"/>
    <col min="5388" max="5388" width="12" style="57" customWidth="1"/>
    <col min="5389" max="5389" width="12.85546875" style="57" bestFit="1" customWidth="1"/>
    <col min="5390" max="5390" width="13.85546875" style="57" customWidth="1"/>
    <col min="5391" max="5391" width="4.85546875" style="57" bestFit="1" customWidth="1"/>
    <col min="5392" max="5392" width="12" style="57" bestFit="1" customWidth="1"/>
    <col min="5393" max="5393" width="10.28515625" style="57" bestFit="1" customWidth="1"/>
    <col min="5394" max="5394" width="12" style="57" bestFit="1" customWidth="1"/>
    <col min="5395" max="5395" width="12.5703125" style="57" bestFit="1" customWidth="1"/>
    <col min="5396" max="5396" width="12" style="57" bestFit="1" customWidth="1"/>
    <col min="5397" max="5398" width="11.7109375" style="57" bestFit="1" customWidth="1"/>
    <col min="5399" max="5399" width="11.140625" style="57" bestFit="1" customWidth="1"/>
    <col min="5400" max="5632" width="9.140625" style="57"/>
    <col min="5633" max="5633" width="10.28515625" style="57" customWidth="1"/>
    <col min="5634" max="5634" width="10.42578125" style="57" customWidth="1"/>
    <col min="5635" max="5635" width="12.7109375" style="57" customWidth="1"/>
    <col min="5636" max="5636" width="11.28515625" style="57" customWidth="1"/>
    <col min="5637" max="5637" width="11.85546875" style="57" customWidth="1"/>
    <col min="5638" max="5638" width="11.7109375" style="57" customWidth="1"/>
    <col min="5639" max="5639" width="10.7109375" style="57" customWidth="1"/>
    <col min="5640" max="5640" width="11.85546875" style="57" customWidth="1"/>
    <col min="5641" max="5641" width="11.42578125" style="57" customWidth="1"/>
    <col min="5642" max="5642" width="12.28515625" style="57" customWidth="1"/>
    <col min="5643" max="5643" width="11" style="57" customWidth="1"/>
    <col min="5644" max="5644" width="12" style="57" customWidth="1"/>
    <col min="5645" max="5645" width="12.85546875" style="57" bestFit="1" customWidth="1"/>
    <col min="5646" max="5646" width="13.85546875" style="57" customWidth="1"/>
    <col min="5647" max="5647" width="4.85546875" style="57" bestFit="1" customWidth="1"/>
    <col min="5648" max="5648" width="12" style="57" bestFit="1" customWidth="1"/>
    <col min="5649" max="5649" width="10.28515625" style="57" bestFit="1" customWidth="1"/>
    <col min="5650" max="5650" width="12" style="57" bestFit="1" customWidth="1"/>
    <col min="5651" max="5651" width="12.5703125" style="57" bestFit="1" customWidth="1"/>
    <col min="5652" max="5652" width="12" style="57" bestFit="1" customWidth="1"/>
    <col min="5653" max="5654" width="11.7109375" style="57" bestFit="1" customWidth="1"/>
    <col min="5655" max="5655" width="11.140625" style="57" bestFit="1" customWidth="1"/>
    <col min="5656" max="5888" width="9.140625" style="57"/>
    <col min="5889" max="5889" width="10.28515625" style="57" customWidth="1"/>
    <col min="5890" max="5890" width="10.42578125" style="57" customWidth="1"/>
    <col min="5891" max="5891" width="12.7109375" style="57" customWidth="1"/>
    <col min="5892" max="5892" width="11.28515625" style="57" customWidth="1"/>
    <col min="5893" max="5893" width="11.85546875" style="57" customWidth="1"/>
    <col min="5894" max="5894" width="11.7109375" style="57" customWidth="1"/>
    <col min="5895" max="5895" width="10.7109375" style="57" customWidth="1"/>
    <col min="5896" max="5896" width="11.85546875" style="57" customWidth="1"/>
    <col min="5897" max="5897" width="11.42578125" style="57" customWidth="1"/>
    <col min="5898" max="5898" width="12.28515625" style="57" customWidth="1"/>
    <col min="5899" max="5899" width="11" style="57" customWidth="1"/>
    <col min="5900" max="5900" width="12" style="57" customWidth="1"/>
    <col min="5901" max="5901" width="12.85546875" style="57" bestFit="1" customWidth="1"/>
    <col min="5902" max="5902" width="13.85546875" style="57" customWidth="1"/>
    <col min="5903" max="5903" width="4.85546875" style="57" bestFit="1" customWidth="1"/>
    <col min="5904" max="5904" width="12" style="57" bestFit="1" customWidth="1"/>
    <col min="5905" max="5905" width="10.28515625" style="57" bestFit="1" customWidth="1"/>
    <col min="5906" max="5906" width="12" style="57" bestFit="1" customWidth="1"/>
    <col min="5907" max="5907" width="12.5703125" style="57" bestFit="1" customWidth="1"/>
    <col min="5908" max="5908" width="12" style="57" bestFit="1" customWidth="1"/>
    <col min="5909" max="5910" width="11.7109375" style="57" bestFit="1" customWidth="1"/>
    <col min="5911" max="5911" width="11.140625" style="57" bestFit="1" customWidth="1"/>
    <col min="5912" max="6144" width="9.140625" style="57"/>
    <col min="6145" max="6145" width="10.28515625" style="57" customWidth="1"/>
    <col min="6146" max="6146" width="10.42578125" style="57" customWidth="1"/>
    <col min="6147" max="6147" width="12.7109375" style="57" customWidth="1"/>
    <col min="6148" max="6148" width="11.28515625" style="57" customWidth="1"/>
    <col min="6149" max="6149" width="11.85546875" style="57" customWidth="1"/>
    <col min="6150" max="6150" width="11.7109375" style="57" customWidth="1"/>
    <col min="6151" max="6151" width="10.7109375" style="57" customWidth="1"/>
    <col min="6152" max="6152" width="11.85546875" style="57" customWidth="1"/>
    <col min="6153" max="6153" width="11.42578125" style="57" customWidth="1"/>
    <col min="6154" max="6154" width="12.28515625" style="57" customWidth="1"/>
    <col min="6155" max="6155" width="11" style="57" customWidth="1"/>
    <col min="6156" max="6156" width="12" style="57" customWidth="1"/>
    <col min="6157" max="6157" width="12.85546875" style="57" bestFit="1" customWidth="1"/>
    <col min="6158" max="6158" width="13.85546875" style="57" customWidth="1"/>
    <col min="6159" max="6159" width="4.85546875" style="57" bestFit="1" customWidth="1"/>
    <col min="6160" max="6160" width="12" style="57" bestFit="1" customWidth="1"/>
    <col min="6161" max="6161" width="10.28515625" style="57" bestFit="1" customWidth="1"/>
    <col min="6162" max="6162" width="12" style="57" bestFit="1" customWidth="1"/>
    <col min="6163" max="6163" width="12.5703125" style="57" bestFit="1" customWidth="1"/>
    <col min="6164" max="6164" width="12" style="57" bestFit="1" customWidth="1"/>
    <col min="6165" max="6166" width="11.7109375" style="57" bestFit="1" customWidth="1"/>
    <col min="6167" max="6167" width="11.140625" style="57" bestFit="1" customWidth="1"/>
    <col min="6168" max="6400" width="9.140625" style="57"/>
    <col min="6401" max="6401" width="10.28515625" style="57" customWidth="1"/>
    <col min="6402" max="6402" width="10.42578125" style="57" customWidth="1"/>
    <col min="6403" max="6403" width="12.7109375" style="57" customWidth="1"/>
    <col min="6404" max="6404" width="11.28515625" style="57" customWidth="1"/>
    <col min="6405" max="6405" width="11.85546875" style="57" customWidth="1"/>
    <col min="6406" max="6406" width="11.7109375" style="57" customWidth="1"/>
    <col min="6407" max="6407" width="10.7109375" style="57" customWidth="1"/>
    <col min="6408" max="6408" width="11.85546875" style="57" customWidth="1"/>
    <col min="6409" max="6409" width="11.42578125" style="57" customWidth="1"/>
    <col min="6410" max="6410" width="12.28515625" style="57" customWidth="1"/>
    <col min="6411" max="6411" width="11" style="57" customWidth="1"/>
    <col min="6412" max="6412" width="12" style="57" customWidth="1"/>
    <col min="6413" max="6413" width="12.85546875" style="57" bestFit="1" customWidth="1"/>
    <col min="6414" max="6414" width="13.85546875" style="57" customWidth="1"/>
    <col min="6415" max="6415" width="4.85546875" style="57" bestFit="1" customWidth="1"/>
    <col min="6416" max="6416" width="12" style="57" bestFit="1" customWidth="1"/>
    <col min="6417" max="6417" width="10.28515625" style="57" bestFit="1" customWidth="1"/>
    <col min="6418" max="6418" width="12" style="57" bestFit="1" customWidth="1"/>
    <col min="6419" max="6419" width="12.5703125" style="57" bestFit="1" customWidth="1"/>
    <col min="6420" max="6420" width="12" style="57" bestFit="1" customWidth="1"/>
    <col min="6421" max="6422" width="11.7109375" style="57" bestFit="1" customWidth="1"/>
    <col min="6423" max="6423" width="11.140625" style="57" bestFit="1" customWidth="1"/>
    <col min="6424" max="6656" width="9.140625" style="57"/>
    <col min="6657" max="6657" width="10.28515625" style="57" customWidth="1"/>
    <col min="6658" max="6658" width="10.42578125" style="57" customWidth="1"/>
    <col min="6659" max="6659" width="12.7109375" style="57" customWidth="1"/>
    <col min="6660" max="6660" width="11.28515625" style="57" customWidth="1"/>
    <col min="6661" max="6661" width="11.85546875" style="57" customWidth="1"/>
    <col min="6662" max="6662" width="11.7109375" style="57" customWidth="1"/>
    <col min="6663" max="6663" width="10.7109375" style="57" customWidth="1"/>
    <col min="6664" max="6664" width="11.85546875" style="57" customWidth="1"/>
    <col min="6665" max="6665" width="11.42578125" style="57" customWidth="1"/>
    <col min="6666" max="6666" width="12.28515625" style="57" customWidth="1"/>
    <col min="6667" max="6667" width="11" style="57" customWidth="1"/>
    <col min="6668" max="6668" width="12" style="57" customWidth="1"/>
    <col min="6669" max="6669" width="12.85546875" style="57" bestFit="1" customWidth="1"/>
    <col min="6670" max="6670" width="13.85546875" style="57" customWidth="1"/>
    <col min="6671" max="6671" width="4.85546875" style="57" bestFit="1" customWidth="1"/>
    <col min="6672" max="6672" width="12" style="57" bestFit="1" customWidth="1"/>
    <col min="6673" max="6673" width="10.28515625" style="57" bestFit="1" customWidth="1"/>
    <col min="6674" max="6674" width="12" style="57" bestFit="1" customWidth="1"/>
    <col min="6675" max="6675" width="12.5703125" style="57" bestFit="1" customWidth="1"/>
    <col min="6676" max="6676" width="12" style="57" bestFit="1" customWidth="1"/>
    <col min="6677" max="6678" width="11.7109375" style="57" bestFit="1" customWidth="1"/>
    <col min="6679" max="6679" width="11.140625" style="57" bestFit="1" customWidth="1"/>
    <col min="6680" max="6912" width="9.140625" style="57"/>
    <col min="6913" max="6913" width="10.28515625" style="57" customWidth="1"/>
    <col min="6914" max="6914" width="10.42578125" style="57" customWidth="1"/>
    <col min="6915" max="6915" width="12.7109375" style="57" customWidth="1"/>
    <col min="6916" max="6916" width="11.28515625" style="57" customWidth="1"/>
    <col min="6917" max="6917" width="11.85546875" style="57" customWidth="1"/>
    <col min="6918" max="6918" width="11.7109375" style="57" customWidth="1"/>
    <col min="6919" max="6919" width="10.7109375" style="57" customWidth="1"/>
    <col min="6920" max="6920" width="11.85546875" style="57" customWidth="1"/>
    <col min="6921" max="6921" width="11.42578125" style="57" customWidth="1"/>
    <col min="6922" max="6922" width="12.28515625" style="57" customWidth="1"/>
    <col min="6923" max="6923" width="11" style="57" customWidth="1"/>
    <col min="6924" max="6924" width="12" style="57" customWidth="1"/>
    <col min="6925" max="6925" width="12.85546875" style="57" bestFit="1" customWidth="1"/>
    <col min="6926" max="6926" width="13.85546875" style="57" customWidth="1"/>
    <col min="6927" max="6927" width="4.85546875" style="57" bestFit="1" customWidth="1"/>
    <col min="6928" max="6928" width="12" style="57" bestFit="1" customWidth="1"/>
    <col min="6929" max="6929" width="10.28515625" style="57" bestFit="1" customWidth="1"/>
    <col min="6930" max="6930" width="12" style="57" bestFit="1" customWidth="1"/>
    <col min="6931" max="6931" width="12.5703125" style="57" bestFit="1" customWidth="1"/>
    <col min="6932" max="6932" width="12" style="57" bestFit="1" customWidth="1"/>
    <col min="6933" max="6934" width="11.7109375" style="57" bestFit="1" customWidth="1"/>
    <col min="6935" max="6935" width="11.140625" style="57" bestFit="1" customWidth="1"/>
    <col min="6936" max="7168" width="9.140625" style="57"/>
    <col min="7169" max="7169" width="10.28515625" style="57" customWidth="1"/>
    <col min="7170" max="7170" width="10.42578125" style="57" customWidth="1"/>
    <col min="7171" max="7171" width="12.7109375" style="57" customWidth="1"/>
    <col min="7172" max="7172" width="11.28515625" style="57" customWidth="1"/>
    <col min="7173" max="7173" width="11.85546875" style="57" customWidth="1"/>
    <col min="7174" max="7174" width="11.7109375" style="57" customWidth="1"/>
    <col min="7175" max="7175" width="10.7109375" style="57" customWidth="1"/>
    <col min="7176" max="7176" width="11.85546875" style="57" customWidth="1"/>
    <col min="7177" max="7177" width="11.42578125" style="57" customWidth="1"/>
    <col min="7178" max="7178" width="12.28515625" style="57" customWidth="1"/>
    <col min="7179" max="7179" width="11" style="57" customWidth="1"/>
    <col min="7180" max="7180" width="12" style="57" customWidth="1"/>
    <col min="7181" max="7181" width="12.85546875" style="57" bestFit="1" customWidth="1"/>
    <col min="7182" max="7182" width="13.85546875" style="57" customWidth="1"/>
    <col min="7183" max="7183" width="4.85546875" style="57" bestFit="1" customWidth="1"/>
    <col min="7184" max="7184" width="12" style="57" bestFit="1" customWidth="1"/>
    <col min="7185" max="7185" width="10.28515625" style="57" bestFit="1" customWidth="1"/>
    <col min="7186" max="7186" width="12" style="57" bestFit="1" customWidth="1"/>
    <col min="7187" max="7187" width="12.5703125" style="57" bestFit="1" customWidth="1"/>
    <col min="7188" max="7188" width="12" style="57" bestFit="1" customWidth="1"/>
    <col min="7189" max="7190" width="11.7109375" style="57" bestFit="1" customWidth="1"/>
    <col min="7191" max="7191" width="11.140625" style="57" bestFit="1" customWidth="1"/>
    <col min="7192" max="7424" width="9.140625" style="57"/>
    <col min="7425" max="7425" width="10.28515625" style="57" customWidth="1"/>
    <col min="7426" max="7426" width="10.42578125" style="57" customWidth="1"/>
    <col min="7427" max="7427" width="12.7109375" style="57" customWidth="1"/>
    <col min="7428" max="7428" width="11.28515625" style="57" customWidth="1"/>
    <col min="7429" max="7429" width="11.85546875" style="57" customWidth="1"/>
    <col min="7430" max="7430" width="11.7109375" style="57" customWidth="1"/>
    <col min="7431" max="7431" width="10.7109375" style="57" customWidth="1"/>
    <col min="7432" max="7432" width="11.85546875" style="57" customWidth="1"/>
    <col min="7433" max="7433" width="11.42578125" style="57" customWidth="1"/>
    <col min="7434" max="7434" width="12.28515625" style="57" customWidth="1"/>
    <col min="7435" max="7435" width="11" style="57" customWidth="1"/>
    <col min="7436" max="7436" width="12" style="57" customWidth="1"/>
    <col min="7437" max="7437" width="12.85546875" style="57" bestFit="1" customWidth="1"/>
    <col min="7438" max="7438" width="13.85546875" style="57" customWidth="1"/>
    <col min="7439" max="7439" width="4.85546875" style="57" bestFit="1" customWidth="1"/>
    <col min="7440" max="7440" width="12" style="57" bestFit="1" customWidth="1"/>
    <col min="7441" max="7441" width="10.28515625" style="57" bestFit="1" customWidth="1"/>
    <col min="7442" max="7442" width="12" style="57" bestFit="1" customWidth="1"/>
    <col min="7443" max="7443" width="12.5703125" style="57" bestFit="1" customWidth="1"/>
    <col min="7444" max="7444" width="12" style="57" bestFit="1" customWidth="1"/>
    <col min="7445" max="7446" width="11.7109375" style="57" bestFit="1" customWidth="1"/>
    <col min="7447" max="7447" width="11.140625" style="57" bestFit="1" customWidth="1"/>
    <col min="7448" max="7680" width="9.140625" style="57"/>
    <col min="7681" max="7681" width="10.28515625" style="57" customWidth="1"/>
    <col min="7682" max="7682" width="10.42578125" style="57" customWidth="1"/>
    <col min="7683" max="7683" width="12.7109375" style="57" customWidth="1"/>
    <col min="7684" max="7684" width="11.28515625" style="57" customWidth="1"/>
    <col min="7685" max="7685" width="11.85546875" style="57" customWidth="1"/>
    <col min="7686" max="7686" width="11.7109375" style="57" customWidth="1"/>
    <col min="7687" max="7687" width="10.7109375" style="57" customWidth="1"/>
    <col min="7688" max="7688" width="11.85546875" style="57" customWidth="1"/>
    <col min="7689" max="7689" width="11.42578125" style="57" customWidth="1"/>
    <col min="7690" max="7690" width="12.28515625" style="57" customWidth="1"/>
    <col min="7691" max="7691" width="11" style="57" customWidth="1"/>
    <col min="7692" max="7692" width="12" style="57" customWidth="1"/>
    <col min="7693" max="7693" width="12.85546875" style="57" bestFit="1" customWidth="1"/>
    <col min="7694" max="7694" width="13.85546875" style="57" customWidth="1"/>
    <col min="7695" max="7695" width="4.85546875" style="57" bestFit="1" customWidth="1"/>
    <col min="7696" max="7696" width="12" style="57" bestFit="1" customWidth="1"/>
    <col min="7697" max="7697" width="10.28515625" style="57" bestFit="1" customWidth="1"/>
    <col min="7698" max="7698" width="12" style="57" bestFit="1" customWidth="1"/>
    <col min="7699" max="7699" width="12.5703125" style="57" bestFit="1" customWidth="1"/>
    <col min="7700" max="7700" width="12" style="57" bestFit="1" customWidth="1"/>
    <col min="7701" max="7702" width="11.7109375" style="57" bestFit="1" customWidth="1"/>
    <col min="7703" max="7703" width="11.140625" style="57" bestFit="1" customWidth="1"/>
    <col min="7704" max="7936" width="9.140625" style="57"/>
    <col min="7937" max="7937" width="10.28515625" style="57" customWidth="1"/>
    <col min="7938" max="7938" width="10.42578125" style="57" customWidth="1"/>
    <col min="7939" max="7939" width="12.7109375" style="57" customWidth="1"/>
    <col min="7940" max="7940" width="11.28515625" style="57" customWidth="1"/>
    <col min="7941" max="7941" width="11.85546875" style="57" customWidth="1"/>
    <col min="7942" max="7942" width="11.7109375" style="57" customWidth="1"/>
    <col min="7943" max="7943" width="10.7109375" style="57" customWidth="1"/>
    <col min="7944" max="7944" width="11.85546875" style="57" customWidth="1"/>
    <col min="7945" max="7945" width="11.42578125" style="57" customWidth="1"/>
    <col min="7946" max="7946" width="12.28515625" style="57" customWidth="1"/>
    <col min="7947" max="7947" width="11" style="57" customWidth="1"/>
    <col min="7948" max="7948" width="12" style="57" customWidth="1"/>
    <col min="7949" max="7949" width="12.85546875" style="57" bestFit="1" customWidth="1"/>
    <col min="7950" max="7950" width="13.85546875" style="57" customWidth="1"/>
    <col min="7951" max="7951" width="4.85546875" style="57" bestFit="1" customWidth="1"/>
    <col min="7952" max="7952" width="12" style="57" bestFit="1" customWidth="1"/>
    <col min="7953" max="7953" width="10.28515625" style="57" bestFit="1" customWidth="1"/>
    <col min="7954" max="7954" width="12" style="57" bestFit="1" customWidth="1"/>
    <col min="7955" max="7955" width="12.5703125" style="57" bestFit="1" customWidth="1"/>
    <col min="7956" max="7956" width="12" style="57" bestFit="1" customWidth="1"/>
    <col min="7957" max="7958" width="11.7109375" style="57" bestFit="1" customWidth="1"/>
    <col min="7959" max="7959" width="11.140625" style="57" bestFit="1" customWidth="1"/>
    <col min="7960" max="8192" width="9.140625" style="57"/>
    <col min="8193" max="8193" width="10.28515625" style="57" customWidth="1"/>
    <col min="8194" max="8194" width="10.42578125" style="57" customWidth="1"/>
    <col min="8195" max="8195" width="12.7109375" style="57" customWidth="1"/>
    <col min="8196" max="8196" width="11.28515625" style="57" customWidth="1"/>
    <col min="8197" max="8197" width="11.85546875" style="57" customWidth="1"/>
    <col min="8198" max="8198" width="11.7109375" style="57" customWidth="1"/>
    <col min="8199" max="8199" width="10.7109375" style="57" customWidth="1"/>
    <col min="8200" max="8200" width="11.85546875" style="57" customWidth="1"/>
    <col min="8201" max="8201" width="11.42578125" style="57" customWidth="1"/>
    <col min="8202" max="8202" width="12.28515625" style="57" customWidth="1"/>
    <col min="8203" max="8203" width="11" style="57" customWidth="1"/>
    <col min="8204" max="8204" width="12" style="57" customWidth="1"/>
    <col min="8205" max="8205" width="12.85546875" style="57" bestFit="1" customWidth="1"/>
    <col min="8206" max="8206" width="13.85546875" style="57" customWidth="1"/>
    <col min="8207" max="8207" width="4.85546875" style="57" bestFit="1" customWidth="1"/>
    <col min="8208" max="8208" width="12" style="57" bestFit="1" customWidth="1"/>
    <col min="8209" max="8209" width="10.28515625" style="57" bestFit="1" customWidth="1"/>
    <col min="8210" max="8210" width="12" style="57" bestFit="1" customWidth="1"/>
    <col min="8211" max="8211" width="12.5703125" style="57" bestFit="1" customWidth="1"/>
    <col min="8212" max="8212" width="12" style="57" bestFit="1" customWidth="1"/>
    <col min="8213" max="8214" width="11.7109375" style="57" bestFit="1" customWidth="1"/>
    <col min="8215" max="8215" width="11.140625" style="57" bestFit="1" customWidth="1"/>
    <col min="8216" max="8448" width="9.140625" style="57"/>
    <col min="8449" max="8449" width="10.28515625" style="57" customWidth="1"/>
    <col min="8450" max="8450" width="10.42578125" style="57" customWidth="1"/>
    <col min="8451" max="8451" width="12.7109375" style="57" customWidth="1"/>
    <col min="8452" max="8452" width="11.28515625" style="57" customWidth="1"/>
    <col min="8453" max="8453" width="11.85546875" style="57" customWidth="1"/>
    <col min="8454" max="8454" width="11.7109375" style="57" customWidth="1"/>
    <col min="8455" max="8455" width="10.7109375" style="57" customWidth="1"/>
    <col min="8456" max="8456" width="11.85546875" style="57" customWidth="1"/>
    <col min="8457" max="8457" width="11.42578125" style="57" customWidth="1"/>
    <col min="8458" max="8458" width="12.28515625" style="57" customWidth="1"/>
    <col min="8459" max="8459" width="11" style="57" customWidth="1"/>
    <col min="8460" max="8460" width="12" style="57" customWidth="1"/>
    <col min="8461" max="8461" width="12.85546875" style="57" bestFit="1" customWidth="1"/>
    <col min="8462" max="8462" width="13.85546875" style="57" customWidth="1"/>
    <col min="8463" max="8463" width="4.85546875" style="57" bestFit="1" customWidth="1"/>
    <col min="8464" max="8464" width="12" style="57" bestFit="1" customWidth="1"/>
    <col min="8465" max="8465" width="10.28515625" style="57" bestFit="1" customWidth="1"/>
    <col min="8466" max="8466" width="12" style="57" bestFit="1" customWidth="1"/>
    <col min="8467" max="8467" width="12.5703125" style="57" bestFit="1" customWidth="1"/>
    <col min="8468" max="8468" width="12" style="57" bestFit="1" customWidth="1"/>
    <col min="8469" max="8470" width="11.7109375" style="57" bestFit="1" customWidth="1"/>
    <col min="8471" max="8471" width="11.140625" style="57" bestFit="1" customWidth="1"/>
    <col min="8472" max="8704" width="9.140625" style="57"/>
    <col min="8705" max="8705" width="10.28515625" style="57" customWidth="1"/>
    <col min="8706" max="8706" width="10.42578125" style="57" customWidth="1"/>
    <col min="8707" max="8707" width="12.7109375" style="57" customWidth="1"/>
    <col min="8708" max="8708" width="11.28515625" style="57" customWidth="1"/>
    <col min="8709" max="8709" width="11.85546875" style="57" customWidth="1"/>
    <col min="8710" max="8710" width="11.7109375" style="57" customWidth="1"/>
    <col min="8711" max="8711" width="10.7109375" style="57" customWidth="1"/>
    <col min="8712" max="8712" width="11.85546875" style="57" customWidth="1"/>
    <col min="8713" max="8713" width="11.42578125" style="57" customWidth="1"/>
    <col min="8714" max="8714" width="12.28515625" style="57" customWidth="1"/>
    <col min="8715" max="8715" width="11" style="57" customWidth="1"/>
    <col min="8716" max="8716" width="12" style="57" customWidth="1"/>
    <col min="8717" max="8717" width="12.85546875" style="57" bestFit="1" customWidth="1"/>
    <col min="8718" max="8718" width="13.85546875" style="57" customWidth="1"/>
    <col min="8719" max="8719" width="4.85546875" style="57" bestFit="1" customWidth="1"/>
    <col min="8720" max="8720" width="12" style="57" bestFit="1" customWidth="1"/>
    <col min="8721" max="8721" width="10.28515625" style="57" bestFit="1" customWidth="1"/>
    <col min="8722" max="8722" width="12" style="57" bestFit="1" customWidth="1"/>
    <col min="8723" max="8723" width="12.5703125" style="57" bestFit="1" customWidth="1"/>
    <col min="8724" max="8724" width="12" style="57" bestFit="1" customWidth="1"/>
    <col min="8725" max="8726" width="11.7109375" style="57" bestFit="1" customWidth="1"/>
    <col min="8727" max="8727" width="11.140625" style="57" bestFit="1" customWidth="1"/>
    <col min="8728" max="8960" width="9.140625" style="57"/>
    <col min="8961" max="8961" width="10.28515625" style="57" customWidth="1"/>
    <col min="8962" max="8962" width="10.42578125" style="57" customWidth="1"/>
    <col min="8963" max="8963" width="12.7109375" style="57" customWidth="1"/>
    <col min="8964" max="8964" width="11.28515625" style="57" customWidth="1"/>
    <col min="8965" max="8965" width="11.85546875" style="57" customWidth="1"/>
    <col min="8966" max="8966" width="11.7109375" style="57" customWidth="1"/>
    <col min="8967" max="8967" width="10.7109375" style="57" customWidth="1"/>
    <col min="8968" max="8968" width="11.85546875" style="57" customWidth="1"/>
    <col min="8969" max="8969" width="11.42578125" style="57" customWidth="1"/>
    <col min="8970" max="8970" width="12.28515625" style="57" customWidth="1"/>
    <col min="8971" max="8971" width="11" style="57" customWidth="1"/>
    <col min="8972" max="8972" width="12" style="57" customWidth="1"/>
    <col min="8973" max="8973" width="12.85546875" style="57" bestFit="1" customWidth="1"/>
    <col min="8974" max="8974" width="13.85546875" style="57" customWidth="1"/>
    <col min="8975" max="8975" width="4.85546875" style="57" bestFit="1" customWidth="1"/>
    <col min="8976" max="8976" width="12" style="57" bestFit="1" customWidth="1"/>
    <col min="8977" max="8977" width="10.28515625" style="57" bestFit="1" customWidth="1"/>
    <col min="8978" max="8978" width="12" style="57" bestFit="1" customWidth="1"/>
    <col min="8979" max="8979" width="12.5703125" style="57" bestFit="1" customWidth="1"/>
    <col min="8980" max="8980" width="12" style="57" bestFit="1" customWidth="1"/>
    <col min="8981" max="8982" width="11.7109375" style="57" bestFit="1" customWidth="1"/>
    <col min="8983" max="8983" width="11.140625" style="57" bestFit="1" customWidth="1"/>
    <col min="8984" max="9216" width="9.140625" style="57"/>
    <col min="9217" max="9217" width="10.28515625" style="57" customWidth="1"/>
    <col min="9218" max="9218" width="10.42578125" style="57" customWidth="1"/>
    <col min="9219" max="9219" width="12.7109375" style="57" customWidth="1"/>
    <col min="9220" max="9220" width="11.28515625" style="57" customWidth="1"/>
    <col min="9221" max="9221" width="11.85546875" style="57" customWidth="1"/>
    <col min="9222" max="9222" width="11.7109375" style="57" customWidth="1"/>
    <col min="9223" max="9223" width="10.7109375" style="57" customWidth="1"/>
    <col min="9224" max="9224" width="11.85546875" style="57" customWidth="1"/>
    <col min="9225" max="9225" width="11.42578125" style="57" customWidth="1"/>
    <col min="9226" max="9226" width="12.28515625" style="57" customWidth="1"/>
    <col min="9227" max="9227" width="11" style="57" customWidth="1"/>
    <col min="9228" max="9228" width="12" style="57" customWidth="1"/>
    <col min="9229" max="9229" width="12.85546875" style="57" bestFit="1" customWidth="1"/>
    <col min="9230" max="9230" width="13.85546875" style="57" customWidth="1"/>
    <col min="9231" max="9231" width="4.85546875" style="57" bestFit="1" customWidth="1"/>
    <col min="9232" max="9232" width="12" style="57" bestFit="1" customWidth="1"/>
    <col min="9233" max="9233" width="10.28515625" style="57" bestFit="1" customWidth="1"/>
    <col min="9234" max="9234" width="12" style="57" bestFit="1" customWidth="1"/>
    <col min="9235" max="9235" width="12.5703125" style="57" bestFit="1" customWidth="1"/>
    <col min="9236" max="9236" width="12" style="57" bestFit="1" customWidth="1"/>
    <col min="9237" max="9238" width="11.7109375" style="57" bestFit="1" customWidth="1"/>
    <col min="9239" max="9239" width="11.140625" style="57" bestFit="1" customWidth="1"/>
    <col min="9240" max="9472" width="9.140625" style="57"/>
    <col min="9473" max="9473" width="10.28515625" style="57" customWidth="1"/>
    <col min="9474" max="9474" width="10.42578125" style="57" customWidth="1"/>
    <col min="9475" max="9475" width="12.7109375" style="57" customWidth="1"/>
    <col min="9476" max="9476" width="11.28515625" style="57" customWidth="1"/>
    <col min="9477" max="9477" width="11.85546875" style="57" customWidth="1"/>
    <col min="9478" max="9478" width="11.7109375" style="57" customWidth="1"/>
    <col min="9479" max="9479" width="10.7109375" style="57" customWidth="1"/>
    <col min="9480" max="9480" width="11.85546875" style="57" customWidth="1"/>
    <col min="9481" max="9481" width="11.42578125" style="57" customWidth="1"/>
    <col min="9482" max="9482" width="12.28515625" style="57" customWidth="1"/>
    <col min="9483" max="9483" width="11" style="57" customWidth="1"/>
    <col min="9484" max="9484" width="12" style="57" customWidth="1"/>
    <col min="9485" max="9485" width="12.85546875" style="57" bestFit="1" customWidth="1"/>
    <col min="9486" max="9486" width="13.85546875" style="57" customWidth="1"/>
    <col min="9487" max="9487" width="4.85546875" style="57" bestFit="1" customWidth="1"/>
    <col min="9488" max="9488" width="12" style="57" bestFit="1" customWidth="1"/>
    <col min="9489" max="9489" width="10.28515625" style="57" bestFit="1" customWidth="1"/>
    <col min="9490" max="9490" width="12" style="57" bestFit="1" customWidth="1"/>
    <col min="9491" max="9491" width="12.5703125" style="57" bestFit="1" customWidth="1"/>
    <col min="9492" max="9492" width="12" style="57" bestFit="1" customWidth="1"/>
    <col min="9493" max="9494" width="11.7109375" style="57" bestFit="1" customWidth="1"/>
    <col min="9495" max="9495" width="11.140625" style="57" bestFit="1" customWidth="1"/>
    <col min="9496" max="9728" width="9.140625" style="57"/>
    <col min="9729" max="9729" width="10.28515625" style="57" customWidth="1"/>
    <col min="9730" max="9730" width="10.42578125" style="57" customWidth="1"/>
    <col min="9731" max="9731" width="12.7109375" style="57" customWidth="1"/>
    <col min="9732" max="9732" width="11.28515625" style="57" customWidth="1"/>
    <col min="9733" max="9733" width="11.85546875" style="57" customWidth="1"/>
    <col min="9734" max="9734" width="11.7109375" style="57" customWidth="1"/>
    <col min="9735" max="9735" width="10.7109375" style="57" customWidth="1"/>
    <col min="9736" max="9736" width="11.85546875" style="57" customWidth="1"/>
    <col min="9737" max="9737" width="11.42578125" style="57" customWidth="1"/>
    <col min="9738" max="9738" width="12.28515625" style="57" customWidth="1"/>
    <col min="9739" max="9739" width="11" style="57" customWidth="1"/>
    <col min="9740" max="9740" width="12" style="57" customWidth="1"/>
    <col min="9741" max="9741" width="12.85546875" style="57" bestFit="1" customWidth="1"/>
    <col min="9742" max="9742" width="13.85546875" style="57" customWidth="1"/>
    <col min="9743" max="9743" width="4.85546875" style="57" bestFit="1" customWidth="1"/>
    <col min="9744" max="9744" width="12" style="57" bestFit="1" customWidth="1"/>
    <col min="9745" max="9745" width="10.28515625" style="57" bestFit="1" customWidth="1"/>
    <col min="9746" max="9746" width="12" style="57" bestFit="1" customWidth="1"/>
    <col min="9747" max="9747" width="12.5703125" style="57" bestFit="1" customWidth="1"/>
    <col min="9748" max="9748" width="12" style="57" bestFit="1" customWidth="1"/>
    <col min="9749" max="9750" width="11.7109375" style="57" bestFit="1" customWidth="1"/>
    <col min="9751" max="9751" width="11.140625" style="57" bestFit="1" customWidth="1"/>
    <col min="9752" max="9984" width="9.140625" style="57"/>
    <col min="9985" max="9985" width="10.28515625" style="57" customWidth="1"/>
    <col min="9986" max="9986" width="10.42578125" style="57" customWidth="1"/>
    <col min="9987" max="9987" width="12.7109375" style="57" customWidth="1"/>
    <col min="9988" max="9988" width="11.28515625" style="57" customWidth="1"/>
    <col min="9989" max="9989" width="11.85546875" style="57" customWidth="1"/>
    <col min="9990" max="9990" width="11.7109375" style="57" customWidth="1"/>
    <col min="9991" max="9991" width="10.7109375" style="57" customWidth="1"/>
    <col min="9992" max="9992" width="11.85546875" style="57" customWidth="1"/>
    <col min="9993" max="9993" width="11.42578125" style="57" customWidth="1"/>
    <col min="9994" max="9994" width="12.28515625" style="57" customWidth="1"/>
    <col min="9995" max="9995" width="11" style="57" customWidth="1"/>
    <col min="9996" max="9996" width="12" style="57" customWidth="1"/>
    <col min="9997" max="9997" width="12.85546875" style="57" bestFit="1" customWidth="1"/>
    <col min="9998" max="9998" width="13.85546875" style="57" customWidth="1"/>
    <col min="9999" max="9999" width="4.85546875" style="57" bestFit="1" customWidth="1"/>
    <col min="10000" max="10000" width="12" style="57" bestFit="1" customWidth="1"/>
    <col min="10001" max="10001" width="10.28515625" style="57" bestFit="1" customWidth="1"/>
    <col min="10002" max="10002" width="12" style="57" bestFit="1" customWidth="1"/>
    <col min="10003" max="10003" width="12.5703125" style="57" bestFit="1" customWidth="1"/>
    <col min="10004" max="10004" width="12" style="57" bestFit="1" customWidth="1"/>
    <col min="10005" max="10006" width="11.7109375" style="57" bestFit="1" customWidth="1"/>
    <col min="10007" max="10007" width="11.140625" style="57" bestFit="1" customWidth="1"/>
    <col min="10008" max="10240" width="9.140625" style="57"/>
    <col min="10241" max="10241" width="10.28515625" style="57" customWidth="1"/>
    <col min="10242" max="10242" width="10.42578125" style="57" customWidth="1"/>
    <col min="10243" max="10243" width="12.7109375" style="57" customWidth="1"/>
    <col min="10244" max="10244" width="11.28515625" style="57" customWidth="1"/>
    <col min="10245" max="10245" width="11.85546875" style="57" customWidth="1"/>
    <col min="10246" max="10246" width="11.7109375" style="57" customWidth="1"/>
    <col min="10247" max="10247" width="10.7109375" style="57" customWidth="1"/>
    <col min="10248" max="10248" width="11.85546875" style="57" customWidth="1"/>
    <col min="10249" max="10249" width="11.42578125" style="57" customWidth="1"/>
    <col min="10250" max="10250" width="12.28515625" style="57" customWidth="1"/>
    <col min="10251" max="10251" width="11" style="57" customWidth="1"/>
    <col min="10252" max="10252" width="12" style="57" customWidth="1"/>
    <col min="10253" max="10253" width="12.85546875" style="57" bestFit="1" customWidth="1"/>
    <col min="10254" max="10254" width="13.85546875" style="57" customWidth="1"/>
    <col min="10255" max="10255" width="4.85546875" style="57" bestFit="1" customWidth="1"/>
    <col min="10256" max="10256" width="12" style="57" bestFit="1" customWidth="1"/>
    <col min="10257" max="10257" width="10.28515625" style="57" bestFit="1" customWidth="1"/>
    <col min="10258" max="10258" width="12" style="57" bestFit="1" customWidth="1"/>
    <col min="10259" max="10259" width="12.5703125" style="57" bestFit="1" customWidth="1"/>
    <col min="10260" max="10260" width="12" style="57" bestFit="1" customWidth="1"/>
    <col min="10261" max="10262" width="11.7109375" style="57" bestFit="1" customWidth="1"/>
    <col min="10263" max="10263" width="11.140625" style="57" bestFit="1" customWidth="1"/>
    <col min="10264" max="10496" width="9.140625" style="57"/>
    <col min="10497" max="10497" width="10.28515625" style="57" customWidth="1"/>
    <col min="10498" max="10498" width="10.42578125" style="57" customWidth="1"/>
    <col min="10499" max="10499" width="12.7109375" style="57" customWidth="1"/>
    <col min="10500" max="10500" width="11.28515625" style="57" customWidth="1"/>
    <col min="10501" max="10501" width="11.85546875" style="57" customWidth="1"/>
    <col min="10502" max="10502" width="11.7109375" style="57" customWidth="1"/>
    <col min="10503" max="10503" width="10.7109375" style="57" customWidth="1"/>
    <col min="10504" max="10504" width="11.85546875" style="57" customWidth="1"/>
    <col min="10505" max="10505" width="11.42578125" style="57" customWidth="1"/>
    <col min="10506" max="10506" width="12.28515625" style="57" customWidth="1"/>
    <col min="10507" max="10507" width="11" style="57" customWidth="1"/>
    <col min="10508" max="10508" width="12" style="57" customWidth="1"/>
    <col min="10509" max="10509" width="12.85546875" style="57" bestFit="1" customWidth="1"/>
    <col min="10510" max="10510" width="13.85546875" style="57" customWidth="1"/>
    <col min="10511" max="10511" width="4.85546875" style="57" bestFit="1" customWidth="1"/>
    <col min="10512" max="10512" width="12" style="57" bestFit="1" customWidth="1"/>
    <col min="10513" max="10513" width="10.28515625" style="57" bestFit="1" customWidth="1"/>
    <col min="10514" max="10514" width="12" style="57" bestFit="1" customWidth="1"/>
    <col min="10515" max="10515" width="12.5703125" style="57" bestFit="1" customWidth="1"/>
    <col min="10516" max="10516" width="12" style="57" bestFit="1" customWidth="1"/>
    <col min="10517" max="10518" width="11.7109375" style="57" bestFit="1" customWidth="1"/>
    <col min="10519" max="10519" width="11.140625" style="57" bestFit="1" customWidth="1"/>
    <col min="10520" max="10752" width="9.140625" style="57"/>
    <col min="10753" max="10753" width="10.28515625" style="57" customWidth="1"/>
    <col min="10754" max="10754" width="10.42578125" style="57" customWidth="1"/>
    <col min="10755" max="10755" width="12.7109375" style="57" customWidth="1"/>
    <col min="10756" max="10756" width="11.28515625" style="57" customWidth="1"/>
    <col min="10757" max="10757" width="11.85546875" style="57" customWidth="1"/>
    <col min="10758" max="10758" width="11.7109375" style="57" customWidth="1"/>
    <col min="10759" max="10759" width="10.7109375" style="57" customWidth="1"/>
    <col min="10760" max="10760" width="11.85546875" style="57" customWidth="1"/>
    <col min="10761" max="10761" width="11.42578125" style="57" customWidth="1"/>
    <col min="10762" max="10762" width="12.28515625" style="57" customWidth="1"/>
    <col min="10763" max="10763" width="11" style="57" customWidth="1"/>
    <col min="10764" max="10764" width="12" style="57" customWidth="1"/>
    <col min="10765" max="10765" width="12.85546875" style="57" bestFit="1" customWidth="1"/>
    <col min="10766" max="10766" width="13.85546875" style="57" customWidth="1"/>
    <col min="10767" max="10767" width="4.85546875" style="57" bestFit="1" customWidth="1"/>
    <col min="10768" max="10768" width="12" style="57" bestFit="1" customWidth="1"/>
    <col min="10769" max="10769" width="10.28515625" style="57" bestFit="1" customWidth="1"/>
    <col min="10770" max="10770" width="12" style="57" bestFit="1" customWidth="1"/>
    <col min="10771" max="10771" width="12.5703125" style="57" bestFit="1" customWidth="1"/>
    <col min="10772" max="10772" width="12" style="57" bestFit="1" customWidth="1"/>
    <col min="10773" max="10774" width="11.7109375" style="57" bestFit="1" customWidth="1"/>
    <col min="10775" max="10775" width="11.140625" style="57" bestFit="1" customWidth="1"/>
    <col min="10776" max="11008" width="9.140625" style="57"/>
    <col min="11009" max="11009" width="10.28515625" style="57" customWidth="1"/>
    <col min="11010" max="11010" width="10.42578125" style="57" customWidth="1"/>
    <col min="11011" max="11011" width="12.7109375" style="57" customWidth="1"/>
    <col min="11012" max="11012" width="11.28515625" style="57" customWidth="1"/>
    <col min="11013" max="11013" width="11.85546875" style="57" customWidth="1"/>
    <col min="11014" max="11014" width="11.7109375" style="57" customWidth="1"/>
    <col min="11015" max="11015" width="10.7109375" style="57" customWidth="1"/>
    <col min="11016" max="11016" width="11.85546875" style="57" customWidth="1"/>
    <col min="11017" max="11017" width="11.42578125" style="57" customWidth="1"/>
    <col min="11018" max="11018" width="12.28515625" style="57" customWidth="1"/>
    <col min="11019" max="11019" width="11" style="57" customWidth="1"/>
    <col min="11020" max="11020" width="12" style="57" customWidth="1"/>
    <col min="11021" max="11021" width="12.85546875" style="57" bestFit="1" customWidth="1"/>
    <col min="11022" max="11022" width="13.85546875" style="57" customWidth="1"/>
    <col min="11023" max="11023" width="4.85546875" style="57" bestFit="1" customWidth="1"/>
    <col min="11024" max="11024" width="12" style="57" bestFit="1" customWidth="1"/>
    <col min="11025" max="11025" width="10.28515625" style="57" bestFit="1" customWidth="1"/>
    <col min="11026" max="11026" width="12" style="57" bestFit="1" customWidth="1"/>
    <col min="11027" max="11027" width="12.5703125" style="57" bestFit="1" customWidth="1"/>
    <col min="11028" max="11028" width="12" style="57" bestFit="1" customWidth="1"/>
    <col min="11029" max="11030" width="11.7109375" style="57" bestFit="1" customWidth="1"/>
    <col min="11031" max="11031" width="11.140625" style="57" bestFit="1" customWidth="1"/>
    <col min="11032" max="11264" width="9.140625" style="57"/>
    <col min="11265" max="11265" width="10.28515625" style="57" customWidth="1"/>
    <col min="11266" max="11266" width="10.42578125" style="57" customWidth="1"/>
    <col min="11267" max="11267" width="12.7109375" style="57" customWidth="1"/>
    <col min="11268" max="11268" width="11.28515625" style="57" customWidth="1"/>
    <col min="11269" max="11269" width="11.85546875" style="57" customWidth="1"/>
    <col min="11270" max="11270" width="11.7109375" style="57" customWidth="1"/>
    <col min="11271" max="11271" width="10.7109375" style="57" customWidth="1"/>
    <col min="11272" max="11272" width="11.85546875" style="57" customWidth="1"/>
    <col min="11273" max="11273" width="11.42578125" style="57" customWidth="1"/>
    <col min="11274" max="11274" width="12.28515625" style="57" customWidth="1"/>
    <col min="11275" max="11275" width="11" style="57" customWidth="1"/>
    <col min="11276" max="11276" width="12" style="57" customWidth="1"/>
    <col min="11277" max="11277" width="12.85546875" style="57" bestFit="1" customWidth="1"/>
    <col min="11278" max="11278" width="13.85546875" style="57" customWidth="1"/>
    <col min="11279" max="11279" width="4.85546875" style="57" bestFit="1" customWidth="1"/>
    <col min="11280" max="11280" width="12" style="57" bestFit="1" customWidth="1"/>
    <col min="11281" max="11281" width="10.28515625" style="57" bestFit="1" customWidth="1"/>
    <col min="11282" max="11282" width="12" style="57" bestFit="1" customWidth="1"/>
    <col min="11283" max="11283" width="12.5703125" style="57" bestFit="1" customWidth="1"/>
    <col min="11284" max="11284" width="12" style="57" bestFit="1" customWidth="1"/>
    <col min="11285" max="11286" width="11.7109375" style="57" bestFit="1" customWidth="1"/>
    <col min="11287" max="11287" width="11.140625" style="57" bestFit="1" customWidth="1"/>
    <col min="11288" max="11520" width="9.140625" style="57"/>
    <col min="11521" max="11521" width="10.28515625" style="57" customWidth="1"/>
    <col min="11522" max="11522" width="10.42578125" style="57" customWidth="1"/>
    <col min="11523" max="11523" width="12.7109375" style="57" customWidth="1"/>
    <col min="11524" max="11524" width="11.28515625" style="57" customWidth="1"/>
    <col min="11525" max="11525" width="11.85546875" style="57" customWidth="1"/>
    <col min="11526" max="11526" width="11.7109375" style="57" customWidth="1"/>
    <col min="11527" max="11527" width="10.7109375" style="57" customWidth="1"/>
    <col min="11528" max="11528" width="11.85546875" style="57" customWidth="1"/>
    <col min="11529" max="11529" width="11.42578125" style="57" customWidth="1"/>
    <col min="11530" max="11530" width="12.28515625" style="57" customWidth="1"/>
    <col min="11531" max="11531" width="11" style="57" customWidth="1"/>
    <col min="11532" max="11532" width="12" style="57" customWidth="1"/>
    <col min="11533" max="11533" width="12.85546875" style="57" bestFit="1" customWidth="1"/>
    <col min="11534" max="11534" width="13.85546875" style="57" customWidth="1"/>
    <col min="11535" max="11535" width="4.85546875" style="57" bestFit="1" customWidth="1"/>
    <col min="11536" max="11536" width="12" style="57" bestFit="1" customWidth="1"/>
    <col min="11537" max="11537" width="10.28515625" style="57" bestFit="1" customWidth="1"/>
    <col min="11538" max="11538" width="12" style="57" bestFit="1" customWidth="1"/>
    <col min="11539" max="11539" width="12.5703125" style="57" bestFit="1" customWidth="1"/>
    <col min="11540" max="11540" width="12" style="57" bestFit="1" customWidth="1"/>
    <col min="11541" max="11542" width="11.7109375" style="57" bestFit="1" customWidth="1"/>
    <col min="11543" max="11543" width="11.140625" style="57" bestFit="1" customWidth="1"/>
    <col min="11544" max="11776" width="9.140625" style="57"/>
    <col min="11777" max="11777" width="10.28515625" style="57" customWidth="1"/>
    <col min="11778" max="11778" width="10.42578125" style="57" customWidth="1"/>
    <col min="11779" max="11779" width="12.7109375" style="57" customWidth="1"/>
    <col min="11780" max="11780" width="11.28515625" style="57" customWidth="1"/>
    <col min="11781" max="11781" width="11.85546875" style="57" customWidth="1"/>
    <col min="11782" max="11782" width="11.7109375" style="57" customWidth="1"/>
    <col min="11783" max="11783" width="10.7109375" style="57" customWidth="1"/>
    <col min="11784" max="11784" width="11.85546875" style="57" customWidth="1"/>
    <col min="11785" max="11785" width="11.42578125" style="57" customWidth="1"/>
    <col min="11786" max="11786" width="12.28515625" style="57" customWidth="1"/>
    <col min="11787" max="11787" width="11" style="57" customWidth="1"/>
    <col min="11788" max="11788" width="12" style="57" customWidth="1"/>
    <col min="11789" max="11789" width="12.85546875" style="57" bestFit="1" customWidth="1"/>
    <col min="11790" max="11790" width="13.85546875" style="57" customWidth="1"/>
    <col min="11791" max="11791" width="4.85546875" style="57" bestFit="1" customWidth="1"/>
    <col min="11792" max="11792" width="12" style="57" bestFit="1" customWidth="1"/>
    <col min="11793" max="11793" width="10.28515625" style="57" bestFit="1" customWidth="1"/>
    <col min="11794" max="11794" width="12" style="57" bestFit="1" customWidth="1"/>
    <col min="11795" max="11795" width="12.5703125" style="57" bestFit="1" customWidth="1"/>
    <col min="11796" max="11796" width="12" style="57" bestFit="1" customWidth="1"/>
    <col min="11797" max="11798" width="11.7109375" style="57" bestFit="1" customWidth="1"/>
    <col min="11799" max="11799" width="11.140625" style="57" bestFit="1" customWidth="1"/>
    <col min="11800" max="12032" width="9.140625" style="57"/>
    <col min="12033" max="12033" width="10.28515625" style="57" customWidth="1"/>
    <col min="12034" max="12034" width="10.42578125" style="57" customWidth="1"/>
    <col min="12035" max="12035" width="12.7109375" style="57" customWidth="1"/>
    <col min="12036" max="12036" width="11.28515625" style="57" customWidth="1"/>
    <col min="12037" max="12037" width="11.85546875" style="57" customWidth="1"/>
    <col min="12038" max="12038" width="11.7109375" style="57" customWidth="1"/>
    <col min="12039" max="12039" width="10.7109375" style="57" customWidth="1"/>
    <col min="12040" max="12040" width="11.85546875" style="57" customWidth="1"/>
    <col min="12041" max="12041" width="11.42578125" style="57" customWidth="1"/>
    <col min="12042" max="12042" width="12.28515625" style="57" customWidth="1"/>
    <col min="12043" max="12043" width="11" style="57" customWidth="1"/>
    <col min="12044" max="12044" width="12" style="57" customWidth="1"/>
    <col min="12045" max="12045" width="12.85546875" style="57" bestFit="1" customWidth="1"/>
    <col min="12046" max="12046" width="13.85546875" style="57" customWidth="1"/>
    <col min="12047" max="12047" width="4.85546875" style="57" bestFit="1" customWidth="1"/>
    <col min="12048" max="12048" width="12" style="57" bestFit="1" customWidth="1"/>
    <col min="12049" max="12049" width="10.28515625" style="57" bestFit="1" customWidth="1"/>
    <col min="12050" max="12050" width="12" style="57" bestFit="1" customWidth="1"/>
    <col min="12051" max="12051" width="12.5703125" style="57" bestFit="1" customWidth="1"/>
    <col min="12052" max="12052" width="12" style="57" bestFit="1" customWidth="1"/>
    <col min="12053" max="12054" width="11.7109375" style="57" bestFit="1" customWidth="1"/>
    <col min="12055" max="12055" width="11.140625" style="57" bestFit="1" customWidth="1"/>
    <col min="12056" max="12288" width="9.140625" style="57"/>
    <col min="12289" max="12289" width="10.28515625" style="57" customWidth="1"/>
    <col min="12290" max="12290" width="10.42578125" style="57" customWidth="1"/>
    <col min="12291" max="12291" width="12.7109375" style="57" customWidth="1"/>
    <col min="12292" max="12292" width="11.28515625" style="57" customWidth="1"/>
    <col min="12293" max="12293" width="11.85546875" style="57" customWidth="1"/>
    <col min="12294" max="12294" width="11.7109375" style="57" customWidth="1"/>
    <col min="12295" max="12295" width="10.7109375" style="57" customWidth="1"/>
    <col min="12296" max="12296" width="11.85546875" style="57" customWidth="1"/>
    <col min="12297" max="12297" width="11.42578125" style="57" customWidth="1"/>
    <col min="12298" max="12298" width="12.28515625" style="57" customWidth="1"/>
    <col min="12299" max="12299" width="11" style="57" customWidth="1"/>
    <col min="12300" max="12300" width="12" style="57" customWidth="1"/>
    <col min="12301" max="12301" width="12.85546875" style="57" bestFit="1" customWidth="1"/>
    <col min="12302" max="12302" width="13.85546875" style="57" customWidth="1"/>
    <col min="12303" max="12303" width="4.85546875" style="57" bestFit="1" customWidth="1"/>
    <col min="12304" max="12304" width="12" style="57" bestFit="1" customWidth="1"/>
    <col min="12305" max="12305" width="10.28515625" style="57" bestFit="1" customWidth="1"/>
    <col min="12306" max="12306" width="12" style="57" bestFit="1" customWidth="1"/>
    <col min="12307" max="12307" width="12.5703125" style="57" bestFit="1" customWidth="1"/>
    <col min="12308" max="12308" width="12" style="57" bestFit="1" customWidth="1"/>
    <col min="12309" max="12310" width="11.7109375" style="57" bestFit="1" customWidth="1"/>
    <col min="12311" max="12311" width="11.140625" style="57" bestFit="1" customWidth="1"/>
    <col min="12312" max="12544" width="9.140625" style="57"/>
    <col min="12545" max="12545" width="10.28515625" style="57" customWidth="1"/>
    <col min="12546" max="12546" width="10.42578125" style="57" customWidth="1"/>
    <col min="12547" max="12547" width="12.7109375" style="57" customWidth="1"/>
    <col min="12548" max="12548" width="11.28515625" style="57" customWidth="1"/>
    <col min="12549" max="12549" width="11.85546875" style="57" customWidth="1"/>
    <col min="12550" max="12550" width="11.7109375" style="57" customWidth="1"/>
    <col min="12551" max="12551" width="10.7109375" style="57" customWidth="1"/>
    <col min="12552" max="12552" width="11.85546875" style="57" customWidth="1"/>
    <col min="12553" max="12553" width="11.42578125" style="57" customWidth="1"/>
    <col min="12554" max="12554" width="12.28515625" style="57" customWidth="1"/>
    <col min="12555" max="12555" width="11" style="57" customWidth="1"/>
    <col min="12556" max="12556" width="12" style="57" customWidth="1"/>
    <col min="12557" max="12557" width="12.85546875" style="57" bestFit="1" customWidth="1"/>
    <col min="12558" max="12558" width="13.85546875" style="57" customWidth="1"/>
    <col min="12559" max="12559" width="4.85546875" style="57" bestFit="1" customWidth="1"/>
    <col min="12560" max="12560" width="12" style="57" bestFit="1" customWidth="1"/>
    <col min="12561" max="12561" width="10.28515625" style="57" bestFit="1" customWidth="1"/>
    <col min="12562" max="12562" width="12" style="57" bestFit="1" customWidth="1"/>
    <col min="12563" max="12563" width="12.5703125" style="57" bestFit="1" customWidth="1"/>
    <col min="12564" max="12564" width="12" style="57" bestFit="1" customWidth="1"/>
    <col min="12565" max="12566" width="11.7109375" style="57" bestFit="1" customWidth="1"/>
    <col min="12567" max="12567" width="11.140625" style="57" bestFit="1" customWidth="1"/>
    <col min="12568" max="12800" width="9.140625" style="57"/>
    <col min="12801" max="12801" width="10.28515625" style="57" customWidth="1"/>
    <col min="12802" max="12802" width="10.42578125" style="57" customWidth="1"/>
    <col min="12803" max="12803" width="12.7109375" style="57" customWidth="1"/>
    <col min="12804" max="12804" width="11.28515625" style="57" customWidth="1"/>
    <col min="12805" max="12805" width="11.85546875" style="57" customWidth="1"/>
    <col min="12806" max="12806" width="11.7109375" style="57" customWidth="1"/>
    <col min="12807" max="12807" width="10.7109375" style="57" customWidth="1"/>
    <col min="12808" max="12808" width="11.85546875" style="57" customWidth="1"/>
    <col min="12809" max="12809" width="11.42578125" style="57" customWidth="1"/>
    <col min="12810" max="12810" width="12.28515625" style="57" customWidth="1"/>
    <col min="12811" max="12811" width="11" style="57" customWidth="1"/>
    <col min="12812" max="12812" width="12" style="57" customWidth="1"/>
    <col min="12813" max="12813" width="12.85546875" style="57" bestFit="1" customWidth="1"/>
    <col min="12814" max="12814" width="13.85546875" style="57" customWidth="1"/>
    <col min="12815" max="12815" width="4.85546875" style="57" bestFit="1" customWidth="1"/>
    <col min="12816" max="12816" width="12" style="57" bestFit="1" customWidth="1"/>
    <col min="12817" max="12817" width="10.28515625" style="57" bestFit="1" customWidth="1"/>
    <col min="12818" max="12818" width="12" style="57" bestFit="1" customWidth="1"/>
    <col min="12819" max="12819" width="12.5703125" style="57" bestFit="1" customWidth="1"/>
    <col min="12820" max="12820" width="12" style="57" bestFit="1" customWidth="1"/>
    <col min="12821" max="12822" width="11.7109375" style="57" bestFit="1" customWidth="1"/>
    <col min="12823" max="12823" width="11.140625" style="57" bestFit="1" customWidth="1"/>
    <col min="12824" max="13056" width="9.140625" style="57"/>
    <col min="13057" max="13057" width="10.28515625" style="57" customWidth="1"/>
    <col min="13058" max="13058" width="10.42578125" style="57" customWidth="1"/>
    <col min="13059" max="13059" width="12.7109375" style="57" customWidth="1"/>
    <col min="13060" max="13060" width="11.28515625" style="57" customWidth="1"/>
    <col min="13061" max="13061" width="11.85546875" style="57" customWidth="1"/>
    <col min="13062" max="13062" width="11.7109375" style="57" customWidth="1"/>
    <col min="13063" max="13063" width="10.7109375" style="57" customWidth="1"/>
    <col min="13064" max="13064" width="11.85546875" style="57" customWidth="1"/>
    <col min="13065" max="13065" width="11.42578125" style="57" customWidth="1"/>
    <col min="13066" max="13066" width="12.28515625" style="57" customWidth="1"/>
    <col min="13067" max="13067" width="11" style="57" customWidth="1"/>
    <col min="13068" max="13068" width="12" style="57" customWidth="1"/>
    <col min="13069" max="13069" width="12.85546875" style="57" bestFit="1" customWidth="1"/>
    <col min="13070" max="13070" width="13.85546875" style="57" customWidth="1"/>
    <col min="13071" max="13071" width="4.85546875" style="57" bestFit="1" customWidth="1"/>
    <col min="13072" max="13072" width="12" style="57" bestFit="1" customWidth="1"/>
    <col min="13073" max="13073" width="10.28515625" style="57" bestFit="1" customWidth="1"/>
    <col min="13074" max="13074" width="12" style="57" bestFit="1" customWidth="1"/>
    <col min="13075" max="13075" width="12.5703125" style="57" bestFit="1" customWidth="1"/>
    <col min="13076" max="13076" width="12" style="57" bestFit="1" customWidth="1"/>
    <col min="13077" max="13078" width="11.7109375" style="57" bestFit="1" customWidth="1"/>
    <col min="13079" max="13079" width="11.140625" style="57" bestFit="1" customWidth="1"/>
    <col min="13080" max="13312" width="9.140625" style="57"/>
    <col min="13313" max="13313" width="10.28515625" style="57" customWidth="1"/>
    <col min="13314" max="13314" width="10.42578125" style="57" customWidth="1"/>
    <col min="13315" max="13315" width="12.7109375" style="57" customWidth="1"/>
    <col min="13316" max="13316" width="11.28515625" style="57" customWidth="1"/>
    <col min="13317" max="13317" width="11.85546875" style="57" customWidth="1"/>
    <col min="13318" max="13318" width="11.7109375" style="57" customWidth="1"/>
    <col min="13319" max="13319" width="10.7109375" style="57" customWidth="1"/>
    <col min="13320" max="13320" width="11.85546875" style="57" customWidth="1"/>
    <col min="13321" max="13321" width="11.42578125" style="57" customWidth="1"/>
    <col min="13322" max="13322" width="12.28515625" style="57" customWidth="1"/>
    <col min="13323" max="13323" width="11" style="57" customWidth="1"/>
    <col min="13324" max="13324" width="12" style="57" customWidth="1"/>
    <col min="13325" max="13325" width="12.85546875" style="57" bestFit="1" customWidth="1"/>
    <col min="13326" max="13326" width="13.85546875" style="57" customWidth="1"/>
    <col min="13327" max="13327" width="4.85546875" style="57" bestFit="1" customWidth="1"/>
    <col min="13328" max="13328" width="12" style="57" bestFit="1" customWidth="1"/>
    <col min="13329" max="13329" width="10.28515625" style="57" bestFit="1" customWidth="1"/>
    <col min="13330" max="13330" width="12" style="57" bestFit="1" customWidth="1"/>
    <col min="13331" max="13331" width="12.5703125" style="57" bestFit="1" customWidth="1"/>
    <col min="13332" max="13332" width="12" style="57" bestFit="1" customWidth="1"/>
    <col min="13333" max="13334" width="11.7109375" style="57" bestFit="1" customWidth="1"/>
    <col min="13335" max="13335" width="11.140625" style="57" bestFit="1" customWidth="1"/>
    <col min="13336" max="13568" width="9.140625" style="57"/>
    <col min="13569" max="13569" width="10.28515625" style="57" customWidth="1"/>
    <col min="13570" max="13570" width="10.42578125" style="57" customWidth="1"/>
    <col min="13571" max="13571" width="12.7109375" style="57" customWidth="1"/>
    <col min="13572" max="13572" width="11.28515625" style="57" customWidth="1"/>
    <col min="13573" max="13573" width="11.85546875" style="57" customWidth="1"/>
    <col min="13574" max="13574" width="11.7109375" style="57" customWidth="1"/>
    <col min="13575" max="13575" width="10.7109375" style="57" customWidth="1"/>
    <col min="13576" max="13576" width="11.85546875" style="57" customWidth="1"/>
    <col min="13577" max="13577" width="11.42578125" style="57" customWidth="1"/>
    <col min="13578" max="13578" width="12.28515625" style="57" customWidth="1"/>
    <col min="13579" max="13579" width="11" style="57" customWidth="1"/>
    <col min="13580" max="13580" width="12" style="57" customWidth="1"/>
    <col min="13581" max="13581" width="12.85546875" style="57" bestFit="1" customWidth="1"/>
    <col min="13582" max="13582" width="13.85546875" style="57" customWidth="1"/>
    <col min="13583" max="13583" width="4.85546875" style="57" bestFit="1" customWidth="1"/>
    <col min="13584" max="13584" width="12" style="57" bestFit="1" customWidth="1"/>
    <col min="13585" max="13585" width="10.28515625" style="57" bestFit="1" customWidth="1"/>
    <col min="13586" max="13586" width="12" style="57" bestFit="1" customWidth="1"/>
    <col min="13587" max="13587" width="12.5703125" style="57" bestFit="1" customWidth="1"/>
    <col min="13588" max="13588" width="12" style="57" bestFit="1" customWidth="1"/>
    <col min="13589" max="13590" width="11.7109375" style="57" bestFit="1" customWidth="1"/>
    <col min="13591" max="13591" width="11.140625" style="57" bestFit="1" customWidth="1"/>
    <col min="13592" max="13824" width="9.140625" style="57"/>
    <col min="13825" max="13825" width="10.28515625" style="57" customWidth="1"/>
    <col min="13826" max="13826" width="10.42578125" style="57" customWidth="1"/>
    <col min="13827" max="13827" width="12.7109375" style="57" customWidth="1"/>
    <col min="13828" max="13828" width="11.28515625" style="57" customWidth="1"/>
    <col min="13829" max="13829" width="11.85546875" style="57" customWidth="1"/>
    <col min="13830" max="13830" width="11.7109375" style="57" customWidth="1"/>
    <col min="13831" max="13831" width="10.7109375" style="57" customWidth="1"/>
    <col min="13832" max="13832" width="11.85546875" style="57" customWidth="1"/>
    <col min="13833" max="13833" width="11.42578125" style="57" customWidth="1"/>
    <col min="13834" max="13834" width="12.28515625" style="57" customWidth="1"/>
    <col min="13835" max="13835" width="11" style="57" customWidth="1"/>
    <col min="13836" max="13836" width="12" style="57" customWidth="1"/>
    <col min="13837" max="13837" width="12.85546875" style="57" bestFit="1" customWidth="1"/>
    <col min="13838" max="13838" width="13.85546875" style="57" customWidth="1"/>
    <col min="13839" max="13839" width="4.85546875" style="57" bestFit="1" customWidth="1"/>
    <col min="13840" max="13840" width="12" style="57" bestFit="1" customWidth="1"/>
    <col min="13841" max="13841" width="10.28515625" style="57" bestFit="1" customWidth="1"/>
    <col min="13842" max="13842" width="12" style="57" bestFit="1" customWidth="1"/>
    <col min="13843" max="13843" width="12.5703125" style="57" bestFit="1" customWidth="1"/>
    <col min="13844" max="13844" width="12" style="57" bestFit="1" customWidth="1"/>
    <col min="13845" max="13846" width="11.7109375" style="57" bestFit="1" customWidth="1"/>
    <col min="13847" max="13847" width="11.140625" style="57" bestFit="1" customWidth="1"/>
    <col min="13848" max="14080" width="9.140625" style="57"/>
    <col min="14081" max="14081" width="10.28515625" style="57" customWidth="1"/>
    <col min="14082" max="14082" width="10.42578125" style="57" customWidth="1"/>
    <col min="14083" max="14083" width="12.7109375" style="57" customWidth="1"/>
    <col min="14084" max="14084" width="11.28515625" style="57" customWidth="1"/>
    <col min="14085" max="14085" width="11.85546875" style="57" customWidth="1"/>
    <col min="14086" max="14086" width="11.7109375" style="57" customWidth="1"/>
    <col min="14087" max="14087" width="10.7109375" style="57" customWidth="1"/>
    <col min="14088" max="14088" width="11.85546875" style="57" customWidth="1"/>
    <col min="14089" max="14089" width="11.42578125" style="57" customWidth="1"/>
    <col min="14090" max="14090" width="12.28515625" style="57" customWidth="1"/>
    <col min="14091" max="14091" width="11" style="57" customWidth="1"/>
    <col min="14092" max="14092" width="12" style="57" customWidth="1"/>
    <col min="14093" max="14093" width="12.85546875" style="57" bestFit="1" customWidth="1"/>
    <col min="14094" max="14094" width="13.85546875" style="57" customWidth="1"/>
    <col min="14095" max="14095" width="4.85546875" style="57" bestFit="1" customWidth="1"/>
    <col min="14096" max="14096" width="12" style="57" bestFit="1" customWidth="1"/>
    <col min="14097" max="14097" width="10.28515625" style="57" bestFit="1" customWidth="1"/>
    <col min="14098" max="14098" width="12" style="57" bestFit="1" customWidth="1"/>
    <col min="14099" max="14099" width="12.5703125" style="57" bestFit="1" customWidth="1"/>
    <col min="14100" max="14100" width="12" style="57" bestFit="1" customWidth="1"/>
    <col min="14101" max="14102" width="11.7109375" style="57" bestFit="1" customWidth="1"/>
    <col min="14103" max="14103" width="11.140625" style="57" bestFit="1" customWidth="1"/>
    <col min="14104" max="14336" width="9.140625" style="57"/>
    <col min="14337" max="14337" width="10.28515625" style="57" customWidth="1"/>
    <col min="14338" max="14338" width="10.42578125" style="57" customWidth="1"/>
    <col min="14339" max="14339" width="12.7109375" style="57" customWidth="1"/>
    <col min="14340" max="14340" width="11.28515625" style="57" customWidth="1"/>
    <col min="14341" max="14341" width="11.85546875" style="57" customWidth="1"/>
    <col min="14342" max="14342" width="11.7109375" style="57" customWidth="1"/>
    <col min="14343" max="14343" width="10.7109375" style="57" customWidth="1"/>
    <col min="14344" max="14344" width="11.85546875" style="57" customWidth="1"/>
    <col min="14345" max="14345" width="11.42578125" style="57" customWidth="1"/>
    <col min="14346" max="14346" width="12.28515625" style="57" customWidth="1"/>
    <col min="14347" max="14347" width="11" style="57" customWidth="1"/>
    <col min="14348" max="14348" width="12" style="57" customWidth="1"/>
    <col min="14349" max="14349" width="12.85546875" style="57" bestFit="1" customWidth="1"/>
    <col min="14350" max="14350" width="13.85546875" style="57" customWidth="1"/>
    <col min="14351" max="14351" width="4.85546875" style="57" bestFit="1" customWidth="1"/>
    <col min="14352" max="14352" width="12" style="57" bestFit="1" customWidth="1"/>
    <col min="14353" max="14353" width="10.28515625" style="57" bestFit="1" customWidth="1"/>
    <col min="14354" max="14354" width="12" style="57" bestFit="1" customWidth="1"/>
    <col min="14355" max="14355" width="12.5703125" style="57" bestFit="1" customWidth="1"/>
    <col min="14356" max="14356" width="12" style="57" bestFit="1" customWidth="1"/>
    <col min="14357" max="14358" width="11.7109375" style="57" bestFit="1" customWidth="1"/>
    <col min="14359" max="14359" width="11.140625" style="57" bestFit="1" customWidth="1"/>
    <col min="14360" max="14592" width="9.140625" style="57"/>
    <col min="14593" max="14593" width="10.28515625" style="57" customWidth="1"/>
    <col min="14594" max="14594" width="10.42578125" style="57" customWidth="1"/>
    <col min="14595" max="14595" width="12.7109375" style="57" customWidth="1"/>
    <col min="14596" max="14596" width="11.28515625" style="57" customWidth="1"/>
    <col min="14597" max="14597" width="11.85546875" style="57" customWidth="1"/>
    <col min="14598" max="14598" width="11.7109375" style="57" customWidth="1"/>
    <col min="14599" max="14599" width="10.7109375" style="57" customWidth="1"/>
    <col min="14600" max="14600" width="11.85546875" style="57" customWidth="1"/>
    <col min="14601" max="14601" width="11.42578125" style="57" customWidth="1"/>
    <col min="14602" max="14602" width="12.28515625" style="57" customWidth="1"/>
    <col min="14603" max="14603" width="11" style="57" customWidth="1"/>
    <col min="14604" max="14604" width="12" style="57" customWidth="1"/>
    <col min="14605" max="14605" width="12.85546875" style="57" bestFit="1" customWidth="1"/>
    <col min="14606" max="14606" width="13.85546875" style="57" customWidth="1"/>
    <col min="14607" max="14607" width="4.85546875" style="57" bestFit="1" customWidth="1"/>
    <col min="14608" max="14608" width="12" style="57" bestFit="1" customWidth="1"/>
    <col min="14609" max="14609" width="10.28515625" style="57" bestFit="1" customWidth="1"/>
    <col min="14610" max="14610" width="12" style="57" bestFit="1" customWidth="1"/>
    <col min="14611" max="14611" width="12.5703125" style="57" bestFit="1" customWidth="1"/>
    <col min="14612" max="14612" width="12" style="57" bestFit="1" customWidth="1"/>
    <col min="14613" max="14614" width="11.7109375" style="57" bestFit="1" customWidth="1"/>
    <col min="14615" max="14615" width="11.140625" style="57" bestFit="1" customWidth="1"/>
    <col min="14616" max="14848" width="9.140625" style="57"/>
    <col min="14849" max="14849" width="10.28515625" style="57" customWidth="1"/>
    <col min="14850" max="14850" width="10.42578125" style="57" customWidth="1"/>
    <col min="14851" max="14851" width="12.7109375" style="57" customWidth="1"/>
    <col min="14852" max="14852" width="11.28515625" style="57" customWidth="1"/>
    <col min="14853" max="14853" width="11.85546875" style="57" customWidth="1"/>
    <col min="14854" max="14854" width="11.7109375" style="57" customWidth="1"/>
    <col min="14855" max="14855" width="10.7109375" style="57" customWidth="1"/>
    <col min="14856" max="14856" width="11.85546875" style="57" customWidth="1"/>
    <col min="14857" max="14857" width="11.42578125" style="57" customWidth="1"/>
    <col min="14858" max="14858" width="12.28515625" style="57" customWidth="1"/>
    <col min="14859" max="14859" width="11" style="57" customWidth="1"/>
    <col min="14860" max="14860" width="12" style="57" customWidth="1"/>
    <col min="14861" max="14861" width="12.85546875" style="57" bestFit="1" customWidth="1"/>
    <col min="14862" max="14862" width="13.85546875" style="57" customWidth="1"/>
    <col min="14863" max="14863" width="4.85546875" style="57" bestFit="1" customWidth="1"/>
    <col min="14864" max="14864" width="12" style="57" bestFit="1" customWidth="1"/>
    <col min="14865" max="14865" width="10.28515625" style="57" bestFit="1" customWidth="1"/>
    <col min="14866" max="14866" width="12" style="57" bestFit="1" customWidth="1"/>
    <col min="14867" max="14867" width="12.5703125" style="57" bestFit="1" customWidth="1"/>
    <col min="14868" max="14868" width="12" style="57" bestFit="1" customWidth="1"/>
    <col min="14869" max="14870" width="11.7109375" style="57" bestFit="1" customWidth="1"/>
    <col min="14871" max="14871" width="11.140625" style="57" bestFit="1" customWidth="1"/>
    <col min="14872" max="15104" width="9.140625" style="57"/>
    <col min="15105" max="15105" width="10.28515625" style="57" customWidth="1"/>
    <col min="15106" max="15106" width="10.42578125" style="57" customWidth="1"/>
    <col min="15107" max="15107" width="12.7109375" style="57" customWidth="1"/>
    <col min="15108" max="15108" width="11.28515625" style="57" customWidth="1"/>
    <col min="15109" max="15109" width="11.85546875" style="57" customWidth="1"/>
    <col min="15110" max="15110" width="11.7109375" style="57" customWidth="1"/>
    <col min="15111" max="15111" width="10.7109375" style="57" customWidth="1"/>
    <col min="15112" max="15112" width="11.85546875" style="57" customWidth="1"/>
    <col min="15113" max="15113" width="11.42578125" style="57" customWidth="1"/>
    <col min="15114" max="15114" width="12.28515625" style="57" customWidth="1"/>
    <col min="15115" max="15115" width="11" style="57" customWidth="1"/>
    <col min="15116" max="15116" width="12" style="57" customWidth="1"/>
    <col min="15117" max="15117" width="12.85546875" style="57" bestFit="1" customWidth="1"/>
    <col min="15118" max="15118" width="13.85546875" style="57" customWidth="1"/>
    <col min="15119" max="15119" width="4.85546875" style="57" bestFit="1" customWidth="1"/>
    <col min="15120" max="15120" width="12" style="57" bestFit="1" customWidth="1"/>
    <col min="15121" max="15121" width="10.28515625" style="57" bestFit="1" customWidth="1"/>
    <col min="15122" max="15122" width="12" style="57" bestFit="1" customWidth="1"/>
    <col min="15123" max="15123" width="12.5703125" style="57" bestFit="1" customWidth="1"/>
    <col min="15124" max="15124" width="12" style="57" bestFit="1" customWidth="1"/>
    <col min="15125" max="15126" width="11.7109375" style="57" bestFit="1" customWidth="1"/>
    <col min="15127" max="15127" width="11.140625" style="57" bestFit="1" customWidth="1"/>
    <col min="15128" max="15360" width="9.140625" style="57"/>
    <col min="15361" max="15361" width="10.28515625" style="57" customWidth="1"/>
    <col min="15362" max="15362" width="10.42578125" style="57" customWidth="1"/>
    <col min="15363" max="15363" width="12.7109375" style="57" customWidth="1"/>
    <col min="15364" max="15364" width="11.28515625" style="57" customWidth="1"/>
    <col min="15365" max="15365" width="11.85546875" style="57" customWidth="1"/>
    <col min="15366" max="15366" width="11.7109375" style="57" customWidth="1"/>
    <col min="15367" max="15367" width="10.7109375" style="57" customWidth="1"/>
    <col min="15368" max="15368" width="11.85546875" style="57" customWidth="1"/>
    <col min="15369" max="15369" width="11.42578125" style="57" customWidth="1"/>
    <col min="15370" max="15370" width="12.28515625" style="57" customWidth="1"/>
    <col min="15371" max="15371" width="11" style="57" customWidth="1"/>
    <col min="15372" max="15372" width="12" style="57" customWidth="1"/>
    <col min="15373" max="15373" width="12.85546875" style="57" bestFit="1" customWidth="1"/>
    <col min="15374" max="15374" width="13.85546875" style="57" customWidth="1"/>
    <col min="15375" max="15375" width="4.85546875" style="57" bestFit="1" customWidth="1"/>
    <col min="15376" max="15376" width="12" style="57" bestFit="1" customWidth="1"/>
    <col min="15377" max="15377" width="10.28515625" style="57" bestFit="1" customWidth="1"/>
    <col min="15378" max="15378" width="12" style="57" bestFit="1" customWidth="1"/>
    <col min="15379" max="15379" width="12.5703125" style="57" bestFit="1" customWidth="1"/>
    <col min="15380" max="15380" width="12" style="57" bestFit="1" customWidth="1"/>
    <col min="15381" max="15382" width="11.7109375" style="57" bestFit="1" customWidth="1"/>
    <col min="15383" max="15383" width="11.140625" style="57" bestFit="1" customWidth="1"/>
    <col min="15384" max="15616" width="9.140625" style="57"/>
    <col min="15617" max="15617" width="10.28515625" style="57" customWidth="1"/>
    <col min="15618" max="15618" width="10.42578125" style="57" customWidth="1"/>
    <col min="15619" max="15619" width="12.7109375" style="57" customWidth="1"/>
    <col min="15620" max="15620" width="11.28515625" style="57" customWidth="1"/>
    <col min="15621" max="15621" width="11.85546875" style="57" customWidth="1"/>
    <col min="15622" max="15622" width="11.7109375" style="57" customWidth="1"/>
    <col min="15623" max="15623" width="10.7109375" style="57" customWidth="1"/>
    <col min="15624" max="15624" width="11.85546875" style="57" customWidth="1"/>
    <col min="15625" max="15625" width="11.42578125" style="57" customWidth="1"/>
    <col min="15626" max="15626" width="12.28515625" style="57" customWidth="1"/>
    <col min="15627" max="15627" width="11" style="57" customWidth="1"/>
    <col min="15628" max="15628" width="12" style="57" customWidth="1"/>
    <col min="15629" max="15629" width="12.85546875" style="57" bestFit="1" customWidth="1"/>
    <col min="15630" max="15630" width="13.85546875" style="57" customWidth="1"/>
    <col min="15631" max="15631" width="4.85546875" style="57" bestFit="1" customWidth="1"/>
    <col min="15632" max="15632" width="12" style="57" bestFit="1" customWidth="1"/>
    <col min="15633" max="15633" width="10.28515625" style="57" bestFit="1" customWidth="1"/>
    <col min="15634" max="15634" width="12" style="57" bestFit="1" customWidth="1"/>
    <col min="15635" max="15635" width="12.5703125" style="57" bestFit="1" customWidth="1"/>
    <col min="15636" max="15636" width="12" style="57" bestFit="1" customWidth="1"/>
    <col min="15637" max="15638" width="11.7109375" style="57" bestFit="1" customWidth="1"/>
    <col min="15639" max="15639" width="11.140625" style="57" bestFit="1" customWidth="1"/>
    <col min="15640" max="15872" width="9.140625" style="57"/>
    <col min="15873" max="15873" width="10.28515625" style="57" customWidth="1"/>
    <col min="15874" max="15874" width="10.42578125" style="57" customWidth="1"/>
    <col min="15875" max="15875" width="12.7109375" style="57" customWidth="1"/>
    <col min="15876" max="15876" width="11.28515625" style="57" customWidth="1"/>
    <col min="15877" max="15877" width="11.85546875" style="57" customWidth="1"/>
    <col min="15878" max="15878" width="11.7109375" style="57" customWidth="1"/>
    <col min="15879" max="15879" width="10.7109375" style="57" customWidth="1"/>
    <col min="15880" max="15880" width="11.85546875" style="57" customWidth="1"/>
    <col min="15881" max="15881" width="11.42578125" style="57" customWidth="1"/>
    <col min="15882" max="15882" width="12.28515625" style="57" customWidth="1"/>
    <col min="15883" max="15883" width="11" style="57" customWidth="1"/>
    <col min="15884" max="15884" width="12" style="57" customWidth="1"/>
    <col min="15885" max="15885" width="12.85546875" style="57" bestFit="1" customWidth="1"/>
    <col min="15886" max="15886" width="13.85546875" style="57" customWidth="1"/>
    <col min="15887" max="15887" width="4.85546875" style="57" bestFit="1" customWidth="1"/>
    <col min="15888" max="15888" width="12" style="57" bestFit="1" customWidth="1"/>
    <col min="15889" max="15889" width="10.28515625" style="57" bestFit="1" customWidth="1"/>
    <col min="15890" max="15890" width="12" style="57" bestFit="1" customWidth="1"/>
    <col min="15891" max="15891" width="12.5703125" style="57" bestFit="1" customWidth="1"/>
    <col min="15892" max="15892" width="12" style="57" bestFit="1" customWidth="1"/>
    <col min="15893" max="15894" width="11.7109375" style="57" bestFit="1" customWidth="1"/>
    <col min="15895" max="15895" width="11.140625" style="57" bestFit="1" customWidth="1"/>
    <col min="15896" max="16128" width="9.140625" style="57"/>
    <col min="16129" max="16129" width="10.28515625" style="57" customWidth="1"/>
    <col min="16130" max="16130" width="10.42578125" style="57" customWidth="1"/>
    <col min="16131" max="16131" width="12.7109375" style="57" customWidth="1"/>
    <col min="16132" max="16132" width="11.28515625" style="57" customWidth="1"/>
    <col min="16133" max="16133" width="11.85546875" style="57" customWidth="1"/>
    <col min="16134" max="16134" width="11.7109375" style="57" customWidth="1"/>
    <col min="16135" max="16135" width="10.7109375" style="57" customWidth="1"/>
    <col min="16136" max="16136" width="11.85546875" style="57" customWidth="1"/>
    <col min="16137" max="16137" width="11.42578125" style="57" customWidth="1"/>
    <col min="16138" max="16138" width="12.28515625" style="57" customWidth="1"/>
    <col min="16139" max="16139" width="11" style="57" customWidth="1"/>
    <col min="16140" max="16140" width="12" style="57" customWidth="1"/>
    <col min="16141" max="16141" width="12.85546875" style="57" bestFit="1" customWidth="1"/>
    <col min="16142" max="16142" width="13.85546875" style="57" customWidth="1"/>
    <col min="16143" max="16143" width="4.85546875" style="57" bestFit="1" customWidth="1"/>
    <col min="16144" max="16144" width="12" style="57" bestFit="1" customWidth="1"/>
    <col min="16145" max="16145" width="10.28515625" style="57" bestFit="1" customWidth="1"/>
    <col min="16146" max="16146" width="12" style="57" bestFit="1" customWidth="1"/>
    <col min="16147" max="16147" width="12.5703125" style="57" bestFit="1" customWidth="1"/>
    <col min="16148" max="16148" width="12" style="57" bestFit="1" customWidth="1"/>
    <col min="16149" max="16150" width="11.7109375" style="57" bestFit="1" customWidth="1"/>
    <col min="16151" max="16151" width="11.140625" style="57" bestFit="1" customWidth="1"/>
    <col min="16152" max="16384" width="9.140625" style="57"/>
  </cols>
  <sheetData>
    <row r="1" spans="1:24">
      <c r="A1" s="139"/>
      <c r="B1" s="140" t="s">
        <v>198</v>
      </c>
    </row>
    <row r="2" spans="1:24">
      <c r="A2" s="57" t="s">
        <v>199</v>
      </c>
      <c r="B2" s="57" t="s">
        <v>959</v>
      </c>
      <c r="E2" s="57" t="s">
        <v>200</v>
      </c>
    </row>
    <row r="3" spans="1:24" s="59" customFormat="1" ht="8.25">
      <c r="C3" s="61"/>
      <c r="D3" s="61"/>
    </row>
    <row r="4" spans="1:24">
      <c r="A4" s="57" t="s">
        <v>201</v>
      </c>
      <c r="D4" s="141"/>
      <c r="P4" s="59"/>
      <c r="Q4" s="59"/>
      <c r="R4" s="59"/>
      <c r="S4" s="59"/>
      <c r="T4" s="59"/>
      <c r="U4" s="59"/>
      <c r="V4" s="59"/>
      <c r="W4" s="59"/>
      <c r="X4" s="59"/>
    </row>
    <row r="5" spans="1:24">
      <c r="A5" s="57" t="s">
        <v>202</v>
      </c>
      <c r="D5" s="141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</row>
    <row r="6" spans="1:24" s="59" customFormat="1">
      <c r="D6" s="61"/>
      <c r="I6" s="60"/>
      <c r="M6" s="57"/>
    </row>
    <row r="7" spans="1:24">
      <c r="A7" s="142" t="s">
        <v>203</v>
      </c>
      <c r="B7" s="143" t="s">
        <v>204</v>
      </c>
      <c r="C7" s="144" t="s">
        <v>205</v>
      </c>
      <c r="D7" s="143" t="s">
        <v>206</v>
      </c>
      <c r="E7" s="719" t="s">
        <v>207</v>
      </c>
      <c r="F7" s="720"/>
      <c r="G7" s="719" t="s">
        <v>208</v>
      </c>
      <c r="H7" s="720"/>
      <c r="I7" s="721" t="s">
        <v>209</v>
      </c>
      <c r="J7" s="722"/>
      <c r="K7" s="70" t="s">
        <v>210</v>
      </c>
      <c r="L7" s="144" t="s">
        <v>211</v>
      </c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</row>
    <row r="8" spans="1:24">
      <c r="A8" s="145" t="s">
        <v>212</v>
      </c>
      <c r="B8" s="146" t="s">
        <v>213</v>
      </c>
      <c r="C8" s="147">
        <v>3488232.14</v>
      </c>
      <c r="D8" s="148">
        <v>2820741.81</v>
      </c>
      <c r="E8" s="149">
        <f>D8*0.6</f>
        <v>1692445.0859999999</v>
      </c>
      <c r="F8" s="149">
        <f t="shared" ref="F8:F13" si="0">(((D8*0.6)/12)*10)-E8</f>
        <v>-282074.1810000001</v>
      </c>
      <c r="G8" s="149">
        <f>D8*0.25</f>
        <v>705185.45250000001</v>
      </c>
      <c r="H8" s="149">
        <f t="shared" ref="H8:H15" si="1">(((C8*0.25)/12)*10)-G8</f>
        <v>21529.57666666666</v>
      </c>
      <c r="I8" s="150"/>
      <c r="J8" s="151"/>
      <c r="K8" s="152">
        <f>D8*0.15</f>
        <v>423111.27149999997</v>
      </c>
      <c r="L8" s="149">
        <f t="shared" ref="L8:L15" si="2">(((C8*0.25)/12)*10)-K8</f>
        <v>303603.7576666667</v>
      </c>
      <c r="N8" s="59"/>
      <c r="P8" s="59"/>
      <c r="Q8" s="59"/>
      <c r="R8" s="59"/>
      <c r="S8" s="59"/>
      <c r="T8" s="59"/>
      <c r="U8" s="59"/>
      <c r="V8" s="59"/>
      <c r="W8" s="59"/>
      <c r="X8" s="59"/>
    </row>
    <row r="9" spans="1:24">
      <c r="A9" s="145" t="s">
        <v>214</v>
      </c>
      <c r="B9" s="146" t="s">
        <v>215</v>
      </c>
      <c r="C9" s="147">
        <v>4037453.83</v>
      </c>
      <c r="D9" s="153">
        <v>2541607.58</v>
      </c>
      <c r="E9" s="154">
        <f t="shared" ref="E9:E19" si="3">D9*0.6</f>
        <v>1524964.548</v>
      </c>
      <c r="F9" s="154">
        <f t="shared" si="0"/>
        <v>-254160.75799999991</v>
      </c>
      <c r="G9" s="154">
        <f>D9*0.25</f>
        <v>635401.89500000002</v>
      </c>
      <c r="H9" s="154">
        <f t="shared" si="1"/>
        <v>205734.31958333333</v>
      </c>
      <c r="I9" s="150"/>
      <c r="J9" s="151"/>
      <c r="K9" s="152">
        <f t="shared" ref="K9:K19" si="4">D9*0.15</f>
        <v>381241.13699999999</v>
      </c>
      <c r="L9" s="154">
        <f t="shared" si="2"/>
        <v>459895.07758333336</v>
      </c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</row>
    <row r="10" spans="1:24">
      <c r="A10" s="145" t="s">
        <v>216</v>
      </c>
      <c r="B10" s="146" t="s">
        <v>217</v>
      </c>
      <c r="C10" s="147">
        <v>1078358.27</v>
      </c>
      <c r="D10" s="153">
        <v>1721629.08</v>
      </c>
      <c r="E10" s="154">
        <f>D10*0.6</f>
        <v>1032977.448</v>
      </c>
      <c r="F10" s="154">
        <f t="shared" si="0"/>
        <v>-172162.90799999994</v>
      </c>
      <c r="G10" s="154">
        <f>D10*0.25</f>
        <v>430407.27</v>
      </c>
      <c r="H10" s="154">
        <f t="shared" si="1"/>
        <v>-205749.29708333337</v>
      </c>
      <c r="I10" s="150"/>
      <c r="J10" s="151"/>
      <c r="K10" s="152">
        <f t="shared" si="4"/>
        <v>258244.36199999999</v>
      </c>
      <c r="L10" s="154">
        <f t="shared" si="2"/>
        <v>-33586.389083333343</v>
      </c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</row>
    <row r="11" spans="1:24">
      <c r="A11" s="145" t="s">
        <v>218</v>
      </c>
      <c r="B11" s="146" t="s">
        <v>219</v>
      </c>
      <c r="C11" s="147">
        <v>5723855.79</v>
      </c>
      <c r="D11" s="153">
        <f>3491233.41</f>
        <v>3491233.41</v>
      </c>
      <c r="E11" s="154">
        <f t="shared" si="3"/>
        <v>2094740.0460000001</v>
      </c>
      <c r="F11" s="154">
        <f t="shared" si="0"/>
        <v>-349123.34100000001</v>
      </c>
      <c r="G11" s="155">
        <f>D11*0.25</f>
        <v>872808.35250000004</v>
      </c>
      <c r="H11" s="154">
        <f t="shared" si="1"/>
        <v>319661.60375000001</v>
      </c>
      <c r="I11" s="150"/>
      <c r="J11" s="151"/>
      <c r="K11" s="152">
        <f t="shared" si="4"/>
        <v>523685.01150000002</v>
      </c>
      <c r="L11" s="154">
        <f t="shared" si="2"/>
        <v>668784.94475000002</v>
      </c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</row>
    <row r="12" spans="1:24">
      <c r="A12" s="145" t="s">
        <v>220</v>
      </c>
      <c r="B12" s="156" t="s">
        <v>221</v>
      </c>
      <c r="C12" s="157">
        <f>18851876.16+4712969.04</f>
        <v>23564845.199999999</v>
      </c>
      <c r="D12" s="148">
        <f>17652722.13+4413180.25</f>
        <v>22065902.379999999</v>
      </c>
      <c r="E12" s="412">
        <f t="shared" si="3"/>
        <v>13239541.427999999</v>
      </c>
      <c r="F12" s="154">
        <f t="shared" si="0"/>
        <v>-2206590.2379999999</v>
      </c>
      <c r="G12" s="162">
        <f>(D12*0.05)</f>
        <v>1103295.1189999999</v>
      </c>
      <c r="H12" s="155">
        <f t="shared" si="1"/>
        <v>3806047.6310000001</v>
      </c>
      <c r="I12" s="159">
        <f>-D12*0.2</f>
        <v>-4413180.4759999998</v>
      </c>
      <c r="J12" s="160">
        <f>(((C12*0.2)/12)*10)+I12</f>
        <v>-485706.27600000007</v>
      </c>
      <c r="K12" s="152">
        <f t="shared" si="4"/>
        <v>3309885.3569999998</v>
      </c>
      <c r="L12" s="154">
        <f t="shared" si="2"/>
        <v>1599457.3930000002</v>
      </c>
      <c r="M12" s="161"/>
      <c r="N12" s="60"/>
      <c r="P12" s="59"/>
      <c r="Q12" s="59"/>
      <c r="R12" s="59"/>
      <c r="S12" s="59"/>
      <c r="T12" s="59"/>
      <c r="U12" s="59"/>
      <c r="V12" s="59"/>
      <c r="W12" s="59"/>
      <c r="X12" s="59"/>
    </row>
    <row r="13" spans="1:24">
      <c r="A13" s="145" t="s">
        <v>222</v>
      </c>
      <c r="B13" s="146" t="s">
        <v>223</v>
      </c>
      <c r="C13" s="147">
        <f>1282878.01</f>
        <v>1282878.01</v>
      </c>
      <c r="D13" s="153">
        <f>1065524.25</f>
        <v>1065524.25</v>
      </c>
      <c r="E13" s="154">
        <f t="shared" si="3"/>
        <v>639314.54999999993</v>
      </c>
      <c r="F13" s="154">
        <f t="shared" si="0"/>
        <v>-106552.42499999993</v>
      </c>
      <c r="G13" s="154">
        <f>D13*0.25</f>
        <v>266381.0625</v>
      </c>
      <c r="H13" s="154">
        <f t="shared" si="1"/>
        <v>885.18958333332557</v>
      </c>
      <c r="I13" s="150"/>
      <c r="J13" s="151"/>
      <c r="K13" s="152">
        <f t="shared" si="4"/>
        <v>159828.63749999998</v>
      </c>
      <c r="L13" s="154">
        <f t="shared" si="2"/>
        <v>107437.61458333334</v>
      </c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</row>
    <row r="14" spans="1:24">
      <c r="A14" s="145" t="s">
        <v>224</v>
      </c>
      <c r="B14" s="146" t="s">
        <v>223</v>
      </c>
      <c r="C14" s="147">
        <f>1014102.37</f>
        <v>1014102.37</v>
      </c>
      <c r="D14" s="153"/>
      <c r="E14" s="154">
        <f t="shared" si="3"/>
        <v>0</v>
      </c>
      <c r="F14" s="154">
        <f t="shared" ref="F14:F16" si="5">(((D14*0.6)/12)*6)-E14</f>
        <v>0</v>
      </c>
      <c r="G14" s="154">
        <f>D14*0.25</f>
        <v>0</v>
      </c>
      <c r="H14" s="154">
        <f t="shared" si="1"/>
        <v>211271.32708333334</v>
      </c>
      <c r="I14" s="150"/>
      <c r="J14" s="151"/>
      <c r="K14" s="152">
        <f t="shared" si="4"/>
        <v>0</v>
      </c>
      <c r="L14" s="154">
        <f t="shared" si="2"/>
        <v>211271.32708333334</v>
      </c>
      <c r="N14" s="59"/>
      <c r="O14" s="59"/>
      <c r="P14" s="59"/>
      <c r="Q14" s="59"/>
      <c r="R14" s="59"/>
      <c r="S14" s="59"/>
      <c r="T14" s="59"/>
      <c r="U14" s="59"/>
      <c r="V14" s="59"/>
      <c r="W14" s="59"/>
      <c r="X14" s="59"/>
    </row>
    <row r="15" spans="1:24">
      <c r="A15" s="145" t="s">
        <v>225</v>
      </c>
      <c r="B15" s="156" t="s">
        <v>226</v>
      </c>
      <c r="C15" s="157">
        <f>736320+184080</f>
        <v>920400</v>
      </c>
      <c r="D15" s="148">
        <f>807347.4+201836.68</f>
        <v>1009184.0800000001</v>
      </c>
      <c r="E15" s="158">
        <f t="shared" si="3"/>
        <v>605510.44799999997</v>
      </c>
      <c r="F15" s="154">
        <f>(((D15*0.6)/12)*10)-E15</f>
        <v>-100918.408</v>
      </c>
      <c r="G15" s="158">
        <f>(D15*0.05)</f>
        <v>50459.204000000005</v>
      </c>
      <c r="H15" s="154">
        <f t="shared" si="1"/>
        <v>141290.796</v>
      </c>
      <c r="I15" s="159">
        <f>-D15*0.2</f>
        <v>-201836.81600000002</v>
      </c>
      <c r="J15" s="160">
        <f>(((C15*0.2)/12)*10)+I15</f>
        <v>-48436.816000000021</v>
      </c>
      <c r="K15" s="152">
        <f t="shared" si="4"/>
        <v>151377.61199999999</v>
      </c>
      <c r="L15" s="154">
        <f t="shared" si="2"/>
        <v>40372.388000000006</v>
      </c>
      <c r="M15" s="161"/>
      <c r="N15" s="60"/>
      <c r="O15" s="59"/>
      <c r="P15" s="59"/>
      <c r="Q15" s="59"/>
      <c r="R15" s="59"/>
      <c r="S15" s="59"/>
      <c r="T15" s="59"/>
      <c r="U15" s="59"/>
      <c r="V15" s="59"/>
      <c r="W15" s="59"/>
      <c r="X15" s="59"/>
    </row>
    <row r="16" spans="1:24">
      <c r="A16" s="145" t="s">
        <v>227</v>
      </c>
      <c r="B16" s="156" t="s">
        <v>228</v>
      </c>
      <c r="C16" s="157">
        <f>130791.45+32697.86</f>
        <v>163489.31</v>
      </c>
      <c r="D16" s="148"/>
      <c r="E16" s="158">
        <f>D16*1</f>
        <v>0</v>
      </c>
      <c r="F16" s="154">
        <f t="shared" si="5"/>
        <v>0</v>
      </c>
      <c r="G16" s="158"/>
      <c r="H16" s="154"/>
      <c r="I16" s="159"/>
      <c r="J16" s="160"/>
      <c r="K16" s="152"/>
      <c r="L16" s="154"/>
      <c r="N16" s="59"/>
      <c r="P16" s="59"/>
      <c r="Q16" s="59"/>
      <c r="R16" s="59"/>
      <c r="S16" s="59"/>
      <c r="T16" s="59"/>
      <c r="U16" s="59"/>
      <c r="V16" s="59"/>
      <c r="W16" s="59"/>
      <c r="X16" s="59"/>
    </row>
    <row r="17" spans="1:24">
      <c r="A17" s="145" t="s">
        <v>229</v>
      </c>
      <c r="B17" s="156" t="s">
        <v>230</v>
      </c>
      <c r="C17" s="157">
        <f>22409830.01+5602457.5</f>
        <v>28012287.510000002</v>
      </c>
      <c r="D17" s="148">
        <f>23335771.45+5858160.29</f>
        <v>29193931.739999998</v>
      </c>
      <c r="E17" s="162">
        <f t="shared" si="3"/>
        <v>17516359.044</v>
      </c>
      <c r="F17" s="154">
        <f>(((D17*0.6)/12)*10)-E17</f>
        <v>-2919393.1739999987</v>
      </c>
      <c r="G17" s="162">
        <f>(D17*0.05)</f>
        <v>1459696.5870000001</v>
      </c>
      <c r="H17" s="154">
        <f>(((C17*0.25)/12)*10)-G17</f>
        <v>4376196.6442499999</v>
      </c>
      <c r="I17" s="163">
        <f>-D17*0.2</f>
        <v>-5838786.3480000002</v>
      </c>
      <c r="J17" s="164">
        <f>(((C17*0.2)/12)*10)+I17</f>
        <v>-1170071.7630000003</v>
      </c>
      <c r="K17" s="152">
        <f t="shared" si="4"/>
        <v>4379089.7609999999</v>
      </c>
      <c r="L17" s="154">
        <f>(((C17*0.25)/12)*10)-K17</f>
        <v>1456803.4702500002</v>
      </c>
      <c r="M17" s="161"/>
      <c r="N17" s="60"/>
      <c r="O17" s="59"/>
      <c r="P17" s="59"/>
      <c r="Q17" s="59"/>
      <c r="R17" s="59"/>
      <c r="S17" s="59"/>
      <c r="T17" s="59"/>
      <c r="U17" s="59"/>
      <c r="V17" s="59"/>
      <c r="W17" s="59"/>
      <c r="X17" s="59"/>
    </row>
    <row r="18" spans="1:24">
      <c r="A18" s="145" t="s">
        <v>231</v>
      </c>
      <c r="B18" s="156" t="s">
        <v>232</v>
      </c>
      <c r="C18" s="157">
        <f>2323787+580946.75</f>
        <v>2904733.75</v>
      </c>
      <c r="D18" s="148">
        <f>2099493.12+524873.55</f>
        <v>2624366.67</v>
      </c>
      <c r="E18" s="158">
        <f t="shared" si="3"/>
        <v>1574620.0019999999</v>
      </c>
      <c r="F18" s="154">
        <f>(((D18*0.6)/12)*10)-E18</f>
        <v>-262436.66700000013</v>
      </c>
      <c r="G18" s="158">
        <f>(D18*0.05)</f>
        <v>131218.33350000001</v>
      </c>
      <c r="H18" s="154">
        <f>(((C18*0.25)/12)*10)-G18</f>
        <v>473934.53108333336</v>
      </c>
      <c r="I18" s="159">
        <f>-D18*0.2</f>
        <v>-524873.33400000003</v>
      </c>
      <c r="J18" s="160">
        <f>(((C18*0.2)/12)*10)+I18</f>
        <v>-40751.042333333404</v>
      </c>
      <c r="K18" s="152">
        <f t="shared" si="4"/>
        <v>393655.00049999997</v>
      </c>
      <c r="L18" s="154">
        <f>(((C18*0.25)/12)*10)-K18</f>
        <v>211497.86408333341</v>
      </c>
      <c r="M18" s="161"/>
      <c r="N18" s="60"/>
      <c r="O18" s="59"/>
      <c r="P18" s="59"/>
      <c r="Q18" s="59"/>
      <c r="R18" s="59"/>
      <c r="S18" s="59"/>
      <c r="T18" s="59"/>
      <c r="U18" s="59"/>
      <c r="V18" s="59"/>
      <c r="W18" s="59"/>
      <c r="X18" s="59"/>
    </row>
    <row r="19" spans="1:24">
      <c r="A19" s="145" t="s">
        <v>233</v>
      </c>
      <c r="B19" s="156" t="s">
        <v>234</v>
      </c>
      <c r="C19" s="157">
        <f>291734.01+72933.5</f>
        <v>364667.51</v>
      </c>
      <c r="D19" s="148">
        <f>261510.34+65377.65</f>
        <v>326887.99</v>
      </c>
      <c r="E19" s="158">
        <f t="shared" si="3"/>
        <v>196132.79399999999</v>
      </c>
      <c r="F19" s="154">
        <f>(((D19*0.6)/12)*10)-E19</f>
        <v>-32688.798999999999</v>
      </c>
      <c r="G19" s="158">
        <f>(D19*0.05)</f>
        <v>16344.3995</v>
      </c>
      <c r="H19" s="154">
        <f>(((C19*0.25)/12)*10)-G19</f>
        <v>59627.998416666669</v>
      </c>
      <c r="I19" s="159">
        <f>-D19*0.2</f>
        <v>-65377.597999999998</v>
      </c>
      <c r="J19" s="160">
        <f>(((C19*0.2)/12)*10)+I19</f>
        <v>-4599.6796666666633</v>
      </c>
      <c r="K19" s="152">
        <f t="shared" si="4"/>
        <v>49033.198499999999</v>
      </c>
      <c r="L19" s="154">
        <f>(((C19*0.25)/12)*10)-K19</f>
        <v>26939.19941666667</v>
      </c>
      <c r="M19" s="161"/>
      <c r="N19" s="60"/>
      <c r="O19" s="59"/>
      <c r="P19" s="59"/>
      <c r="Q19" s="59"/>
      <c r="R19" s="59"/>
      <c r="S19" s="59"/>
      <c r="T19" s="59"/>
      <c r="U19" s="59"/>
      <c r="V19" s="59"/>
      <c r="W19" s="59"/>
      <c r="X19" s="59"/>
    </row>
    <row r="20" spans="1:24">
      <c r="A20" s="145" t="s">
        <v>235</v>
      </c>
      <c r="B20" s="146" t="s">
        <v>236</v>
      </c>
      <c r="C20" s="147">
        <f>19076280</f>
        <v>19076280</v>
      </c>
      <c r="D20" s="153">
        <f>21817425.62</f>
        <v>21817425.620000001</v>
      </c>
      <c r="E20" s="147"/>
      <c r="F20" s="147"/>
      <c r="G20" s="147"/>
      <c r="H20" s="147"/>
      <c r="I20" s="154">
        <f>-SUM(I12+SUM(I15:I19))-11063428.42</f>
        <v>-19373.8479999993</v>
      </c>
      <c r="J20" s="153"/>
      <c r="K20" s="165"/>
      <c r="L20" s="145"/>
      <c r="M20" s="161"/>
      <c r="N20" s="59"/>
      <c r="P20" s="59"/>
      <c r="Q20" s="59"/>
      <c r="R20" s="59"/>
      <c r="S20" s="59"/>
      <c r="T20" s="59"/>
      <c r="U20" s="59"/>
      <c r="V20" s="59"/>
      <c r="W20" s="59"/>
      <c r="X20" s="59"/>
    </row>
    <row r="21" spans="1:24">
      <c r="A21" s="166"/>
      <c r="B21" s="167" t="s">
        <v>10</v>
      </c>
      <c r="C21" s="88">
        <f>SUM(C8:C20)</f>
        <v>91631583.690000013</v>
      </c>
      <c r="D21" s="168">
        <f>SUM(D8:D20)</f>
        <v>88678434.609999999</v>
      </c>
      <c r="E21" s="88">
        <f t="shared" ref="E21:L21" si="6">SUM(E8:E20)</f>
        <v>40116605.393999994</v>
      </c>
      <c r="F21" s="88">
        <f t="shared" si="6"/>
        <v>-6686100.8989999983</v>
      </c>
      <c r="G21" s="88">
        <f t="shared" si="6"/>
        <v>5671197.6754999999</v>
      </c>
      <c r="H21" s="88">
        <f t="shared" si="6"/>
        <v>9410430.3203333337</v>
      </c>
      <c r="I21" s="169">
        <f>SUM(I8:I20)</f>
        <v>-11063428.42</v>
      </c>
      <c r="J21" s="169">
        <f>SUM(J8:J20)</f>
        <v>-1749565.5770000005</v>
      </c>
      <c r="K21" s="170">
        <f t="shared" si="6"/>
        <v>10029151.348499998</v>
      </c>
      <c r="L21" s="88">
        <f t="shared" si="6"/>
        <v>5052476.6473333342</v>
      </c>
      <c r="N21" s="59"/>
      <c r="O21" s="59"/>
      <c r="P21" s="59"/>
      <c r="Q21" s="59"/>
      <c r="R21" s="61"/>
      <c r="S21" s="59"/>
      <c r="T21" s="59"/>
      <c r="U21" s="59"/>
      <c r="V21" s="59"/>
      <c r="W21" s="59"/>
      <c r="X21" s="59"/>
    </row>
    <row r="22" spans="1:24">
      <c r="C22" s="89" t="s">
        <v>237</v>
      </c>
      <c r="D22" s="171">
        <f>D21/C21</f>
        <v>0.96777149361522719</v>
      </c>
      <c r="F22" s="172" t="s">
        <v>238</v>
      </c>
      <c r="G22" s="71" t="s">
        <v>239</v>
      </c>
      <c r="I22" s="70" t="s">
        <v>240</v>
      </c>
      <c r="J22" s="71" t="s">
        <v>241</v>
      </c>
      <c r="K22" s="71" t="s">
        <v>242</v>
      </c>
      <c r="L22" s="71" t="s">
        <v>190</v>
      </c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</row>
    <row r="23" spans="1:24">
      <c r="B23" s="161"/>
      <c r="C23" s="173" t="s">
        <v>243</v>
      </c>
      <c r="D23" s="171">
        <f>C27/D20</f>
        <v>0.92075757286344762</v>
      </c>
      <c r="F23" s="172" t="s">
        <v>244</v>
      </c>
      <c r="G23" s="45">
        <f>I33+J33</f>
        <v>25106280.579999998</v>
      </c>
      <c r="H23" s="174"/>
      <c r="I23" s="70" t="s">
        <v>245</v>
      </c>
      <c r="J23" s="175">
        <f>D27</f>
        <v>16113918.710000001</v>
      </c>
      <c r="K23" s="172"/>
      <c r="L23" s="172">
        <f>SUM(J23:K23)</f>
        <v>16113918.710000001</v>
      </c>
      <c r="N23" s="59"/>
      <c r="O23" s="59"/>
      <c r="P23" s="59"/>
      <c r="Q23" s="59"/>
      <c r="R23" s="59"/>
      <c r="S23" s="59"/>
      <c r="T23" s="59"/>
      <c r="U23" s="59"/>
      <c r="V23" s="59"/>
      <c r="W23" s="59"/>
      <c r="X23" s="59"/>
    </row>
    <row r="24" spans="1:24">
      <c r="A24" s="176"/>
      <c r="B24" s="61"/>
      <c r="D24" s="161"/>
      <c r="F24" s="177" t="s">
        <v>246</v>
      </c>
      <c r="G24" s="45">
        <f>D20+I21</f>
        <v>10753997.200000001</v>
      </c>
      <c r="I24" s="178" t="s">
        <v>249</v>
      </c>
      <c r="J24" s="172">
        <f>1959943.73</f>
        <v>1959943.73</v>
      </c>
      <c r="K24" s="172"/>
      <c r="L24" s="172">
        <f>SUM(J24:K24)</f>
        <v>1959943.73</v>
      </c>
      <c r="N24" s="59"/>
      <c r="P24" s="59"/>
      <c r="Q24" s="59"/>
      <c r="R24" s="59"/>
      <c r="S24" s="59"/>
      <c r="T24" s="59"/>
      <c r="U24" s="59"/>
      <c r="V24" s="59"/>
      <c r="W24" s="59"/>
      <c r="X24" s="59"/>
    </row>
    <row r="25" spans="1:24">
      <c r="A25" s="178" t="s">
        <v>245</v>
      </c>
      <c r="B25" s="71" t="s">
        <v>247</v>
      </c>
      <c r="C25" s="71" t="s">
        <v>236</v>
      </c>
      <c r="D25" s="71" t="s">
        <v>241</v>
      </c>
      <c r="E25" s="179"/>
      <c r="F25" s="180" t="s">
        <v>248</v>
      </c>
      <c r="G25" s="172">
        <f>B34</f>
        <v>400.88</v>
      </c>
      <c r="I25" s="178" t="s">
        <v>252</v>
      </c>
      <c r="J25" s="172">
        <f>208129.16</f>
        <v>208129.16</v>
      </c>
      <c r="K25" s="178"/>
      <c r="L25" s="172">
        <f>SUM(J25:K25)</f>
        <v>208129.16</v>
      </c>
      <c r="N25" s="61"/>
      <c r="O25" s="59"/>
      <c r="P25" s="59"/>
      <c r="Q25" s="59"/>
      <c r="R25" s="61"/>
      <c r="S25" s="59"/>
      <c r="T25" s="59"/>
      <c r="U25" s="59"/>
      <c r="V25" s="59"/>
      <c r="W25" s="59"/>
      <c r="X25" s="59"/>
    </row>
    <row r="26" spans="1:24">
      <c r="A26" s="178" t="s">
        <v>250</v>
      </c>
      <c r="B26" s="181">
        <v>5017720.72</v>
      </c>
      <c r="C26" s="172">
        <v>20088559.859999999</v>
      </c>
      <c r="D26" s="45">
        <v>16431844.93</v>
      </c>
      <c r="E26" s="182"/>
      <c r="F26" s="183" t="s">
        <v>251</v>
      </c>
      <c r="G26" s="172">
        <f>C34</f>
        <v>40831.85</v>
      </c>
      <c r="I26" s="185" t="s">
        <v>254</v>
      </c>
      <c r="J26" s="172">
        <f>D34</f>
        <v>1046.77</v>
      </c>
      <c r="K26" s="172"/>
      <c r="L26" s="172">
        <f>SUM(J26:K26)</f>
        <v>1046.77</v>
      </c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</row>
    <row r="27" spans="1:24">
      <c r="A27" s="178" t="s">
        <v>253</v>
      </c>
      <c r="B27" s="45">
        <v>4904902.0199999996</v>
      </c>
      <c r="C27" s="87">
        <v>20088559.859999999</v>
      </c>
      <c r="D27" s="175">
        <v>16113918.710000001</v>
      </c>
      <c r="F27" s="185" t="s">
        <v>771</v>
      </c>
      <c r="G27" s="184">
        <f>SUM(I34:J35)</f>
        <v>348399.39</v>
      </c>
      <c r="I27" s="71" t="s">
        <v>257</v>
      </c>
      <c r="J27" s="184">
        <f>J23-SUM(J24:J26)</f>
        <v>13944799.050000001</v>
      </c>
      <c r="K27" s="188">
        <f>K23-SUM(K24:K26)</f>
        <v>0</v>
      </c>
      <c r="L27" s="188">
        <f>L23-SUM(L24:L26)</f>
        <v>13944799.050000001</v>
      </c>
      <c r="M27" s="389"/>
      <c r="N27" s="60"/>
      <c r="O27" s="59"/>
      <c r="P27" s="59"/>
      <c r="Q27" s="59"/>
      <c r="R27" s="59"/>
      <c r="S27" s="59"/>
      <c r="T27" s="59"/>
      <c r="U27" s="59"/>
      <c r="V27" s="59"/>
      <c r="W27" s="59"/>
      <c r="X27" s="59"/>
    </row>
    <row r="28" spans="1:24">
      <c r="A28" s="178" t="s">
        <v>255</v>
      </c>
      <c r="B28" s="45">
        <v>4753719.18</v>
      </c>
      <c r="C28" s="172">
        <v>19322984.550000001</v>
      </c>
      <c r="D28" s="45">
        <v>15012063.640000001</v>
      </c>
      <c r="E28" s="186"/>
      <c r="F28" s="177" t="s">
        <v>256</v>
      </c>
      <c r="G28" s="184">
        <f>G23-SUM(G24:G27)</f>
        <v>13962651.259999996</v>
      </c>
      <c r="H28" s="187"/>
      <c r="I28" s="178" t="s">
        <v>260</v>
      </c>
      <c r="J28" s="87">
        <f>(J27/(SUM(D8:D19))*100)</f>
        <v>20.856399358384856</v>
      </c>
      <c r="K28" s="87">
        <f>(K27/(SUM(D8:D19)))*100</f>
        <v>0</v>
      </c>
      <c r="L28" s="193">
        <f>(L27/(SUM(D8:D19)))*100</f>
        <v>20.856399358384856</v>
      </c>
      <c r="N28" s="59"/>
      <c r="P28" s="59"/>
      <c r="Q28" s="59"/>
      <c r="R28" s="59"/>
      <c r="S28" s="59"/>
      <c r="T28" s="59"/>
      <c r="U28" s="59"/>
      <c r="V28" s="59"/>
      <c r="W28" s="59"/>
      <c r="X28" s="59"/>
    </row>
    <row r="29" spans="1:24">
      <c r="A29" s="172" t="s">
        <v>258</v>
      </c>
      <c r="B29" s="189">
        <f>B26/SUM(D8:D19)</f>
        <v>7.504703856249717E-2</v>
      </c>
      <c r="C29" s="190">
        <f>C26/D20</f>
        <v>0.92075757286344762</v>
      </c>
      <c r="D29" s="190">
        <f>D26/SUM(D8:D19)</f>
        <v>0.24576124677474748</v>
      </c>
      <c r="E29" s="182"/>
      <c r="F29" s="191" t="s">
        <v>259</v>
      </c>
      <c r="G29" s="192">
        <f>G28/(SUM(D8:D19))</f>
        <v>0.2088309983788654</v>
      </c>
      <c r="J29" s="61"/>
      <c r="L29" s="141"/>
      <c r="N29" s="59"/>
      <c r="O29" s="59"/>
      <c r="P29" s="59"/>
      <c r="Q29" s="59"/>
      <c r="R29" s="59"/>
      <c r="S29" s="59"/>
      <c r="T29" s="59"/>
      <c r="U29" s="59"/>
      <c r="V29" s="59"/>
      <c r="W29" s="59"/>
      <c r="X29" s="59"/>
    </row>
    <row r="30" spans="1:24">
      <c r="A30" s="74" t="s">
        <v>261</v>
      </c>
      <c r="B30" s="194">
        <f>(B27-B34)/SUM(D8:D19)</f>
        <v>7.3353681227477985E-2</v>
      </c>
      <c r="C30" s="194">
        <f>(C26-C34)/D20</f>
        <v>0.91888604820645181</v>
      </c>
      <c r="D30" s="194">
        <f>(D27-D34)/SUM(D8:D19)</f>
        <v>0.2409905591225808</v>
      </c>
      <c r="E30" s="146"/>
      <c r="F30" s="185" t="s">
        <v>262</v>
      </c>
      <c r="G30" s="184">
        <f>G28-(SUM(D8:D19)*0.25)</f>
        <v>-2752600.9875000045</v>
      </c>
      <c r="H30" s="195" t="str">
        <f>IF(G30&gt;0," = A MAIOR","= A MENOR")</f>
        <v>= A MENOR</v>
      </c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</row>
    <row r="31" spans="1:24">
      <c r="A31" s="178" t="s">
        <v>263</v>
      </c>
      <c r="B31" s="190">
        <f>B28/SUM(D8:D19)</f>
        <v>7.1098525909338059E-2</v>
      </c>
      <c r="C31" s="190">
        <f>C27/D20</f>
        <v>0.92075757286344762</v>
      </c>
      <c r="D31" s="190">
        <f>D27/SUM(D8:D19)</f>
        <v>0.24100621503348929</v>
      </c>
      <c r="E31" s="70" t="s">
        <v>264</v>
      </c>
      <c r="G31" s="124"/>
      <c r="H31" s="57" t="s">
        <v>736</v>
      </c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</row>
    <row r="32" spans="1:24">
      <c r="A32" s="178" t="s">
        <v>265</v>
      </c>
      <c r="B32" s="188">
        <f t="shared" ref="B32:D33" si="7">B26-B27</f>
        <v>112818.70000000019</v>
      </c>
      <c r="C32" s="188">
        <f t="shared" si="7"/>
        <v>0</v>
      </c>
      <c r="D32" s="188">
        <f t="shared" si="7"/>
        <v>317926.21999999881</v>
      </c>
      <c r="E32" s="172">
        <f>SUM(B32:D32)</f>
        <v>430744.91999999899</v>
      </c>
      <c r="G32" s="196"/>
      <c r="H32" s="70" t="s">
        <v>240</v>
      </c>
      <c r="I32" s="71" t="s">
        <v>247</v>
      </c>
      <c r="J32" s="71" t="s">
        <v>236</v>
      </c>
      <c r="K32" s="71" t="s">
        <v>242</v>
      </c>
      <c r="L32" s="71" t="s">
        <v>190</v>
      </c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</row>
    <row r="33" spans="1:24">
      <c r="A33" s="178" t="s">
        <v>266</v>
      </c>
      <c r="B33" s="184">
        <f t="shared" si="7"/>
        <v>151182.83999999985</v>
      </c>
      <c r="C33" s="188">
        <f t="shared" si="7"/>
        <v>765575.30999999866</v>
      </c>
      <c r="D33" s="188">
        <f t="shared" si="7"/>
        <v>1101855.0700000003</v>
      </c>
      <c r="E33" s="172">
        <f>SUM(B33:D33)</f>
        <v>2018613.2199999988</v>
      </c>
      <c r="G33" s="151"/>
      <c r="H33" s="70" t="s">
        <v>245</v>
      </c>
      <c r="I33" s="175">
        <f>B26</f>
        <v>5017720.72</v>
      </c>
      <c r="J33" s="45">
        <f>C27</f>
        <v>20088559.859999999</v>
      </c>
      <c r="K33" s="197">
        <v>475639.85</v>
      </c>
      <c r="L33" s="198">
        <f>SUM(I33:K33)</f>
        <v>25581920.43</v>
      </c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</row>
    <row r="34" spans="1:24">
      <c r="A34" s="178" t="s">
        <v>267</v>
      </c>
      <c r="B34" s="172">
        <v>400.88</v>
      </c>
      <c r="C34" s="172">
        <v>40831.85</v>
      </c>
      <c r="D34" s="172">
        <v>1046.77</v>
      </c>
      <c r="E34" s="172">
        <f>SUM(B34:D34)</f>
        <v>42279.499999999993</v>
      </c>
      <c r="F34" s="174"/>
      <c r="G34" s="151"/>
      <c r="H34" s="178" t="s">
        <v>249</v>
      </c>
      <c r="I34" s="172"/>
      <c r="J34" s="199"/>
      <c r="K34" s="172"/>
      <c r="L34" s="198">
        <f>SUM(I34:K34)</f>
        <v>0</v>
      </c>
      <c r="N34" s="59"/>
      <c r="O34" s="59"/>
      <c r="P34" s="59"/>
      <c r="Q34" s="59"/>
      <c r="R34" s="59"/>
      <c r="S34" s="59"/>
      <c r="T34" s="59"/>
      <c r="U34" s="59"/>
      <c r="V34" s="59"/>
      <c r="W34" s="59"/>
      <c r="X34" s="59"/>
    </row>
    <row r="35" spans="1:24">
      <c r="A35" s="57" t="s">
        <v>514</v>
      </c>
      <c r="E35" s="200">
        <f>(J33-(J34+J35+J37))/D20</f>
        <v>0.90518947212068002</v>
      </c>
      <c r="F35" s="174"/>
      <c r="G35" s="151"/>
      <c r="H35" s="178" t="s">
        <v>252</v>
      </c>
      <c r="I35" s="201">
        <v>49575.360000000001</v>
      </c>
      <c r="J35" s="172">
        <v>298824.03000000003</v>
      </c>
      <c r="K35" s="172">
        <v>2788.26</v>
      </c>
      <c r="L35" s="198">
        <f>SUM(I35:K35)</f>
        <v>351187.65</v>
      </c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</row>
    <row r="36" spans="1:24">
      <c r="A36" s="174" t="s">
        <v>732</v>
      </c>
      <c r="B36" s="174"/>
      <c r="C36" s="174"/>
      <c r="D36" s="174"/>
      <c r="E36" s="174"/>
      <c r="F36" s="174"/>
      <c r="G36" s="151"/>
      <c r="H36" s="178" t="s">
        <v>268</v>
      </c>
      <c r="I36" s="178"/>
      <c r="J36" s="172">
        <f>D20+I21</f>
        <v>10753997.200000001</v>
      </c>
      <c r="K36" s="178"/>
      <c r="L36" s="198">
        <f>SUM(I36:K36)</f>
        <v>10753997.200000001</v>
      </c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</row>
    <row r="37" spans="1:24">
      <c r="A37" s="57" t="s">
        <v>521</v>
      </c>
      <c r="B37" s="174"/>
      <c r="C37" s="174"/>
      <c r="D37" s="174"/>
      <c r="E37" s="174"/>
      <c r="F37" s="174"/>
      <c r="H37" s="185" t="s">
        <v>254</v>
      </c>
      <c r="I37" s="172">
        <f>B34</f>
        <v>400.88</v>
      </c>
      <c r="J37" s="172">
        <f>C34</f>
        <v>40831.85</v>
      </c>
      <c r="K37" s="201"/>
      <c r="L37" s="198">
        <f>SUM(I37:K37)</f>
        <v>41232.729999999996</v>
      </c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</row>
    <row r="38" spans="1:24">
      <c r="H38" s="71" t="s">
        <v>257</v>
      </c>
      <c r="I38" s="202">
        <f>I33-SUM(I34:I37)</f>
        <v>4967744.4799999995</v>
      </c>
      <c r="J38" s="198">
        <f>J33-SUM(J34:J37)</f>
        <v>8994906.7799999993</v>
      </c>
      <c r="K38" s="198">
        <f>K33-SUM(K34:K37)</f>
        <v>472851.58999999997</v>
      </c>
      <c r="L38" s="188">
        <f>L33-SUM(L34:L37)</f>
        <v>14435502.849999998</v>
      </c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</row>
    <row r="39" spans="1:24">
      <c r="F39" s="389"/>
      <c r="H39" s="70" t="s">
        <v>269</v>
      </c>
      <c r="I39" s="199">
        <f>(I38/(SUM(D8:D19)))*100</f>
        <v>7.4299573922717732</v>
      </c>
      <c r="J39" s="172">
        <f>(J38/(SUM(D8:D19)))*100</f>
        <v>13.453142445614771</v>
      </c>
      <c r="K39" s="172">
        <f>(K38/(SUM(D8:D19))*100)</f>
        <v>0.70721575570407791</v>
      </c>
      <c r="L39" s="87">
        <f>(L38/(SUM(D8:D19)))*100</f>
        <v>21.590315593590624</v>
      </c>
      <c r="N39" s="59"/>
      <c r="O39" s="59"/>
      <c r="P39" s="59"/>
      <c r="Q39" s="59"/>
      <c r="R39" s="59"/>
      <c r="S39" s="59"/>
      <c r="U39" s="59"/>
      <c r="V39" s="59"/>
    </row>
    <row r="40" spans="1:24">
      <c r="H40" s="179"/>
      <c r="I40" s="203">
        <f>I39/L39</f>
        <v>0.34413380203101135</v>
      </c>
      <c r="J40" s="203">
        <f>J39/L39</f>
        <v>0.62311004150437332</v>
      </c>
      <c r="K40" s="203">
        <f>K39/L39</f>
        <v>3.2756156464615292E-2</v>
      </c>
      <c r="L40" s="204"/>
      <c r="P40" s="59"/>
      <c r="Q40" s="59"/>
      <c r="R40" s="59"/>
      <c r="S40" s="59"/>
      <c r="U40" s="59"/>
      <c r="V40" s="59"/>
    </row>
    <row r="41" spans="1:24">
      <c r="H41" s="179"/>
      <c r="K41" s="151"/>
      <c r="L41" s="204"/>
      <c r="N41" s="59"/>
      <c r="O41" s="59"/>
      <c r="P41" s="59"/>
      <c r="Q41" s="59"/>
      <c r="R41" s="59"/>
      <c r="S41" s="59"/>
      <c r="U41" s="59"/>
      <c r="V41" s="59"/>
    </row>
    <row r="42" spans="1:24">
      <c r="A42" s="57" t="s">
        <v>103</v>
      </c>
      <c r="D42" s="57" t="s">
        <v>104</v>
      </c>
      <c r="G42" s="57" t="s">
        <v>105</v>
      </c>
      <c r="I42" s="374"/>
      <c r="J42" s="61"/>
      <c r="N42" s="59"/>
      <c r="O42" s="59"/>
      <c r="P42" s="59"/>
      <c r="Q42" s="59"/>
      <c r="R42" s="59"/>
      <c r="S42" s="59"/>
      <c r="U42" s="59"/>
      <c r="V42" s="59"/>
    </row>
    <row r="43" spans="1:24">
      <c r="A43" s="57" t="s">
        <v>106</v>
      </c>
      <c r="D43" s="57" t="s">
        <v>107</v>
      </c>
      <c r="G43" s="57" t="s">
        <v>108</v>
      </c>
      <c r="L43" s="161"/>
      <c r="N43" s="59"/>
      <c r="O43" s="59"/>
      <c r="P43" s="59"/>
      <c r="Q43" s="59"/>
      <c r="R43" s="59"/>
      <c r="S43" s="59"/>
      <c r="U43" s="59"/>
      <c r="V43" s="59"/>
    </row>
    <row r="44" spans="1:24">
      <c r="P44" s="59"/>
      <c r="Q44" s="59"/>
      <c r="R44" s="59"/>
      <c r="S44" s="59"/>
      <c r="U44" s="59"/>
      <c r="V44" s="59"/>
    </row>
    <row r="45" spans="1:24">
      <c r="N45" s="59"/>
      <c r="O45" s="59"/>
      <c r="P45" s="59"/>
      <c r="Q45" s="59"/>
      <c r="R45" s="59"/>
      <c r="S45" s="59"/>
      <c r="U45" s="59"/>
      <c r="V45" s="59"/>
    </row>
    <row r="46" spans="1:24" s="59" customFormat="1" ht="8.25">
      <c r="G46" s="61"/>
      <c r="J46" s="205"/>
    </row>
    <row r="47" spans="1:24" s="92" customFormat="1">
      <c r="A47" s="57"/>
      <c r="B47" s="57"/>
      <c r="C47" s="57"/>
      <c r="D47" s="57"/>
      <c r="E47" s="57"/>
      <c r="F47" s="57"/>
      <c r="G47" s="57"/>
      <c r="H47" s="57"/>
      <c r="L47" s="94"/>
      <c r="N47" s="59"/>
      <c r="O47" s="59"/>
      <c r="P47" s="59"/>
      <c r="Q47" s="59"/>
      <c r="R47" s="59"/>
      <c r="S47" s="59"/>
      <c r="U47" s="59"/>
      <c r="V47" s="59"/>
    </row>
    <row r="48" spans="1:24" s="92" customFormat="1">
      <c r="A48" s="59"/>
      <c r="B48" s="59"/>
      <c r="C48" s="59"/>
      <c r="D48" s="59"/>
      <c r="E48" s="59"/>
      <c r="F48" s="59"/>
      <c r="G48" s="59"/>
      <c r="H48" s="59"/>
      <c r="J48" s="93"/>
      <c r="K48" s="93"/>
      <c r="L48" s="97"/>
      <c r="N48" s="57"/>
      <c r="O48" s="57"/>
      <c r="P48" s="59"/>
      <c r="Q48" s="59"/>
      <c r="R48" s="59"/>
      <c r="S48" s="59"/>
      <c r="U48" s="59"/>
      <c r="V48" s="59"/>
    </row>
    <row r="49" spans="1:22">
      <c r="J49" s="206"/>
      <c r="K49" s="206"/>
      <c r="L49" s="206"/>
      <c r="N49" s="59"/>
      <c r="O49" s="59"/>
      <c r="P49" s="59"/>
      <c r="Q49" s="59"/>
      <c r="R49" s="59"/>
      <c r="S49" s="59"/>
      <c r="U49" s="59"/>
      <c r="V49" s="59"/>
    </row>
    <row r="50" spans="1:22">
      <c r="A50" s="59"/>
      <c r="B50" s="59"/>
      <c r="C50" s="59"/>
      <c r="D50" s="59"/>
      <c r="E50" s="59"/>
      <c r="F50" s="59"/>
      <c r="G50" s="59"/>
      <c r="H50" s="59"/>
      <c r="I50" s="173"/>
      <c r="J50" s="161"/>
      <c r="K50" s="161"/>
      <c r="L50" s="161"/>
      <c r="N50" s="59"/>
      <c r="O50" s="59"/>
      <c r="P50" s="59"/>
      <c r="Q50" s="59"/>
      <c r="R50" s="59"/>
      <c r="S50" s="59"/>
      <c r="U50" s="59"/>
      <c r="V50" s="59"/>
    </row>
    <row r="51" spans="1:22">
      <c r="I51" s="173"/>
      <c r="J51" s="176"/>
      <c r="K51" s="124"/>
      <c r="L51" s="176"/>
      <c r="N51" s="59"/>
      <c r="O51" s="59"/>
      <c r="P51" s="59"/>
      <c r="Q51" s="59"/>
      <c r="R51" s="59"/>
      <c r="S51" s="59"/>
      <c r="U51" s="59"/>
      <c r="V51" s="59"/>
    </row>
    <row r="52" spans="1:22">
      <c r="A52" s="59"/>
      <c r="B52" s="59"/>
      <c r="C52" s="59"/>
      <c r="D52" s="59"/>
      <c r="E52" s="59"/>
      <c r="F52" s="59"/>
      <c r="G52" s="59"/>
      <c r="H52" s="59"/>
      <c r="I52" s="173"/>
      <c r="J52" s="161"/>
      <c r="K52" s="161"/>
      <c r="L52" s="161"/>
      <c r="P52" s="59"/>
      <c r="Q52" s="59"/>
      <c r="R52" s="59"/>
      <c r="S52" s="59"/>
      <c r="U52" s="59"/>
      <c r="V52" s="59"/>
    </row>
    <row r="54" spans="1:22" s="140" customFormat="1">
      <c r="A54" s="59"/>
      <c r="B54" s="59"/>
      <c r="C54" s="59"/>
      <c r="D54" s="59"/>
      <c r="E54" s="59"/>
      <c r="F54" s="59"/>
      <c r="G54" s="59"/>
      <c r="H54" s="59"/>
      <c r="I54" s="207"/>
      <c r="J54" s="208"/>
      <c r="K54" s="208"/>
      <c r="L54" s="208"/>
    </row>
    <row r="56" spans="1:22">
      <c r="A56" s="59"/>
      <c r="B56" s="59"/>
      <c r="C56" s="59"/>
      <c r="D56" s="59"/>
      <c r="E56" s="59"/>
      <c r="F56" s="59"/>
      <c r="G56" s="59"/>
      <c r="H56" s="59"/>
    </row>
    <row r="58" spans="1:22">
      <c r="A58" s="59"/>
      <c r="B58" s="59"/>
      <c r="C58" s="59"/>
      <c r="D58" s="59"/>
      <c r="E58" s="59"/>
      <c r="F58" s="59"/>
      <c r="G58" s="59"/>
      <c r="H58" s="59"/>
    </row>
    <row r="60" spans="1:22">
      <c r="A60" s="59"/>
      <c r="B60" s="59"/>
      <c r="C60" s="59"/>
      <c r="D60" s="59"/>
      <c r="E60" s="59"/>
      <c r="F60" s="59"/>
      <c r="G60" s="59"/>
      <c r="H60" s="59"/>
    </row>
    <row r="62" spans="1:22">
      <c r="A62" s="59"/>
      <c r="B62" s="59"/>
      <c r="C62" s="59"/>
      <c r="D62" s="59"/>
      <c r="E62" s="59"/>
      <c r="F62" s="59"/>
      <c r="G62" s="59"/>
      <c r="H62" s="59"/>
    </row>
    <row r="64" spans="1:22">
      <c r="A64" s="59"/>
      <c r="B64" s="59"/>
      <c r="C64" s="59"/>
      <c r="D64" s="59"/>
      <c r="E64" s="59"/>
      <c r="F64" s="59"/>
      <c r="G64" s="59"/>
      <c r="H64" s="59"/>
    </row>
    <row r="66" spans="1:8">
      <c r="A66" s="59"/>
      <c r="B66" s="59"/>
      <c r="C66" s="59"/>
      <c r="D66" s="59"/>
      <c r="E66" s="59"/>
      <c r="F66" s="59"/>
      <c r="G66" s="59"/>
      <c r="H66" s="59"/>
    </row>
    <row r="68" spans="1:8">
      <c r="A68" s="59"/>
      <c r="B68" s="59"/>
      <c r="C68" s="59"/>
      <c r="D68" s="59"/>
      <c r="E68" s="59"/>
      <c r="F68" s="59"/>
      <c r="G68" s="59"/>
      <c r="H68" s="59"/>
    </row>
    <row r="70" spans="1:8">
      <c r="A70" s="59"/>
      <c r="B70" s="59"/>
      <c r="C70" s="59"/>
      <c r="D70" s="59"/>
      <c r="E70" s="59"/>
      <c r="F70" s="59"/>
      <c r="G70" s="59"/>
      <c r="H70" s="59"/>
    </row>
    <row r="72" spans="1:8">
      <c r="A72" s="59"/>
      <c r="B72" s="59"/>
      <c r="C72" s="59"/>
      <c r="D72" s="59"/>
      <c r="E72" s="59"/>
      <c r="F72" s="59"/>
      <c r="G72" s="59"/>
      <c r="H72" s="59"/>
    </row>
    <row r="74" spans="1:8">
      <c r="A74" s="59"/>
      <c r="B74" s="59"/>
      <c r="C74" s="59"/>
      <c r="D74" s="59"/>
      <c r="E74" s="59"/>
      <c r="F74" s="59"/>
      <c r="G74" s="59"/>
      <c r="H74" s="59"/>
    </row>
    <row r="76" spans="1:8">
      <c r="A76" s="59"/>
      <c r="B76" s="59"/>
      <c r="C76" s="59"/>
      <c r="D76" s="59"/>
      <c r="E76" s="59"/>
      <c r="F76" s="59"/>
      <c r="G76" s="59"/>
      <c r="H76" s="59"/>
    </row>
    <row r="78" spans="1:8">
      <c r="A78" s="59"/>
      <c r="B78" s="59"/>
      <c r="C78" s="59"/>
      <c r="D78" s="59"/>
      <c r="E78" s="59"/>
      <c r="F78" s="59"/>
      <c r="G78" s="59"/>
      <c r="H78" s="59"/>
    </row>
    <row r="80" spans="1:8">
      <c r="A80" s="59"/>
      <c r="B80" s="59"/>
      <c r="C80" s="59"/>
      <c r="D80" s="59"/>
      <c r="E80" s="59"/>
      <c r="F80" s="59"/>
      <c r="G80" s="59"/>
      <c r="H80" s="59"/>
    </row>
    <row r="82" spans="1:8">
      <c r="A82" s="59"/>
      <c r="B82" s="59"/>
      <c r="C82" s="59"/>
      <c r="D82" s="59"/>
      <c r="E82" s="59"/>
      <c r="F82" s="59"/>
      <c r="G82" s="59"/>
      <c r="H82" s="59"/>
    </row>
    <row r="84" spans="1:8">
      <c r="A84" s="59"/>
      <c r="B84" s="59"/>
      <c r="C84" s="59"/>
      <c r="D84" s="59"/>
      <c r="E84" s="59"/>
      <c r="F84" s="59"/>
      <c r="G84" s="59"/>
      <c r="H84" s="59"/>
    </row>
    <row r="86" spans="1:8">
      <c r="A86" s="59"/>
      <c r="B86" s="59"/>
      <c r="C86" s="59"/>
      <c r="D86" s="59"/>
      <c r="E86" s="59"/>
      <c r="F86" s="59"/>
      <c r="G86" s="59"/>
      <c r="H86" s="59"/>
    </row>
  </sheetData>
  <mergeCells count="3">
    <mergeCell ref="E7:F7"/>
    <mergeCell ref="G7:H7"/>
    <mergeCell ref="I7:J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3:Y50"/>
  <sheetViews>
    <sheetView workbookViewId="0">
      <selection activeCell="C42" sqref="C42"/>
    </sheetView>
  </sheetViews>
  <sheetFormatPr defaultRowHeight="8.25"/>
  <cols>
    <col min="1" max="1" width="11" style="59" customWidth="1"/>
    <col min="2" max="2" width="9.42578125" style="59" customWidth="1"/>
    <col min="3" max="3" width="11.140625" style="59" customWidth="1"/>
    <col min="4" max="5" width="10.85546875" style="59" customWidth="1"/>
    <col min="6" max="6" width="10.85546875" style="59" bestFit="1" customWidth="1"/>
    <col min="7" max="7" width="11.28515625" style="59" bestFit="1" customWidth="1"/>
    <col min="8" max="8" width="9.140625" style="59" bestFit="1" customWidth="1"/>
    <col min="9" max="9" width="11" style="59" customWidth="1"/>
    <col min="10" max="10" width="10.28515625" style="59" customWidth="1"/>
    <col min="11" max="12" width="9.140625" style="59"/>
    <col min="13" max="13" width="10.140625" style="59" customWidth="1"/>
    <col min="14" max="16" width="10" style="59" bestFit="1" customWidth="1"/>
    <col min="17" max="256" width="9.140625" style="59"/>
    <col min="257" max="257" width="11" style="59" customWidth="1"/>
    <col min="258" max="258" width="8.42578125" style="59" customWidth="1"/>
    <col min="259" max="259" width="11.140625" style="59" customWidth="1"/>
    <col min="260" max="260" width="10.140625" style="59" customWidth="1"/>
    <col min="261" max="261" width="10.28515625" style="59" customWidth="1"/>
    <col min="262" max="262" width="10.85546875" style="59" bestFit="1" customWidth="1"/>
    <col min="263" max="263" width="11.28515625" style="59" bestFit="1" customWidth="1"/>
    <col min="264" max="264" width="9.140625" style="59" bestFit="1" customWidth="1"/>
    <col min="265" max="265" width="11" style="59" customWidth="1"/>
    <col min="266" max="266" width="10.28515625" style="59" customWidth="1"/>
    <col min="267" max="268" width="9.140625" style="59"/>
    <col min="269" max="269" width="10.140625" style="59" customWidth="1"/>
    <col min="270" max="272" width="10" style="59" bestFit="1" customWidth="1"/>
    <col min="273" max="512" width="9.140625" style="59"/>
    <col min="513" max="513" width="11" style="59" customWidth="1"/>
    <col min="514" max="514" width="8.42578125" style="59" customWidth="1"/>
    <col min="515" max="515" width="11.140625" style="59" customWidth="1"/>
    <col min="516" max="516" width="10.140625" style="59" customWidth="1"/>
    <col min="517" max="517" width="10.28515625" style="59" customWidth="1"/>
    <col min="518" max="518" width="10.85546875" style="59" bestFit="1" customWidth="1"/>
    <col min="519" max="519" width="11.28515625" style="59" bestFit="1" customWidth="1"/>
    <col min="520" max="520" width="9.140625" style="59" bestFit="1" customWidth="1"/>
    <col min="521" max="521" width="11" style="59" customWidth="1"/>
    <col min="522" max="522" width="10.28515625" style="59" customWidth="1"/>
    <col min="523" max="524" width="9.140625" style="59"/>
    <col min="525" max="525" width="10.140625" style="59" customWidth="1"/>
    <col min="526" max="528" width="10" style="59" bestFit="1" customWidth="1"/>
    <col min="529" max="768" width="9.140625" style="59"/>
    <col min="769" max="769" width="11" style="59" customWidth="1"/>
    <col min="770" max="770" width="8.42578125" style="59" customWidth="1"/>
    <col min="771" max="771" width="11.140625" style="59" customWidth="1"/>
    <col min="772" max="772" width="10.140625" style="59" customWidth="1"/>
    <col min="773" max="773" width="10.28515625" style="59" customWidth="1"/>
    <col min="774" max="774" width="10.85546875" style="59" bestFit="1" customWidth="1"/>
    <col min="775" max="775" width="11.28515625" style="59" bestFit="1" customWidth="1"/>
    <col min="776" max="776" width="9.140625" style="59" bestFit="1" customWidth="1"/>
    <col min="777" max="777" width="11" style="59" customWidth="1"/>
    <col min="778" max="778" width="10.28515625" style="59" customWidth="1"/>
    <col min="779" max="780" width="9.140625" style="59"/>
    <col min="781" max="781" width="10.140625" style="59" customWidth="1"/>
    <col min="782" max="784" width="10" style="59" bestFit="1" customWidth="1"/>
    <col min="785" max="1024" width="9.140625" style="59"/>
    <col min="1025" max="1025" width="11" style="59" customWidth="1"/>
    <col min="1026" max="1026" width="8.42578125" style="59" customWidth="1"/>
    <col min="1027" max="1027" width="11.140625" style="59" customWidth="1"/>
    <col min="1028" max="1028" width="10.140625" style="59" customWidth="1"/>
    <col min="1029" max="1029" width="10.28515625" style="59" customWidth="1"/>
    <col min="1030" max="1030" width="10.85546875" style="59" bestFit="1" customWidth="1"/>
    <col min="1031" max="1031" width="11.28515625" style="59" bestFit="1" customWidth="1"/>
    <col min="1032" max="1032" width="9.140625" style="59" bestFit="1" customWidth="1"/>
    <col min="1033" max="1033" width="11" style="59" customWidth="1"/>
    <col min="1034" max="1034" width="10.28515625" style="59" customWidth="1"/>
    <col min="1035" max="1036" width="9.140625" style="59"/>
    <col min="1037" max="1037" width="10.140625" style="59" customWidth="1"/>
    <col min="1038" max="1040" width="10" style="59" bestFit="1" customWidth="1"/>
    <col min="1041" max="1280" width="9.140625" style="59"/>
    <col min="1281" max="1281" width="11" style="59" customWidth="1"/>
    <col min="1282" max="1282" width="8.42578125" style="59" customWidth="1"/>
    <col min="1283" max="1283" width="11.140625" style="59" customWidth="1"/>
    <col min="1284" max="1284" width="10.140625" style="59" customWidth="1"/>
    <col min="1285" max="1285" width="10.28515625" style="59" customWidth="1"/>
    <col min="1286" max="1286" width="10.85546875" style="59" bestFit="1" customWidth="1"/>
    <col min="1287" max="1287" width="11.28515625" style="59" bestFit="1" customWidth="1"/>
    <col min="1288" max="1288" width="9.140625" style="59" bestFit="1" customWidth="1"/>
    <col min="1289" max="1289" width="11" style="59" customWidth="1"/>
    <col min="1290" max="1290" width="10.28515625" style="59" customWidth="1"/>
    <col min="1291" max="1292" width="9.140625" style="59"/>
    <col min="1293" max="1293" width="10.140625" style="59" customWidth="1"/>
    <col min="1294" max="1296" width="10" style="59" bestFit="1" customWidth="1"/>
    <col min="1297" max="1536" width="9.140625" style="59"/>
    <col min="1537" max="1537" width="11" style="59" customWidth="1"/>
    <col min="1538" max="1538" width="8.42578125" style="59" customWidth="1"/>
    <col min="1539" max="1539" width="11.140625" style="59" customWidth="1"/>
    <col min="1540" max="1540" width="10.140625" style="59" customWidth="1"/>
    <col min="1541" max="1541" width="10.28515625" style="59" customWidth="1"/>
    <col min="1542" max="1542" width="10.85546875" style="59" bestFit="1" customWidth="1"/>
    <col min="1543" max="1543" width="11.28515625" style="59" bestFit="1" customWidth="1"/>
    <col min="1544" max="1544" width="9.140625" style="59" bestFit="1" customWidth="1"/>
    <col min="1545" max="1545" width="11" style="59" customWidth="1"/>
    <col min="1546" max="1546" width="10.28515625" style="59" customWidth="1"/>
    <col min="1547" max="1548" width="9.140625" style="59"/>
    <col min="1549" max="1549" width="10.140625" style="59" customWidth="1"/>
    <col min="1550" max="1552" width="10" style="59" bestFit="1" customWidth="1"/>
    <col min="1553" max="1792" width="9.140625" style="59"/>
    <col min="1793" max="1793" width="11" style="59" customWidth="1"/>
    <col min="1794" max="1794" width="8.42578125" style="59" customWidth="1"/>
    <col min="1795" max="1795" width="11.140625" style="59" customWidth="1"/>
    <col min="1796" max="1796" width="10.140625" style="59" customWidth="1"/>
    <col min="1797" max="1797" width="10.28515625" style="59" customWidth="1"/>
    <col min="1798" max="1798" width="10.85546875" style="59" bestFit="1" customWidth="1"/>
    <col min="1799" max="1799" width="11.28515625" style="59" bestFit="1" customWidth="1"/>
    <col min="1800" max="1800" width="9.140625" style="59" bestFit="1" customWidth="1"/>
    <col min="1801" max="1801" width="11" style="59" customWidth="1"/>
    <col min="1802" max="1802" width="10.28515625" style="59" customWidth="1"/>
    <col min="1803" max="1804" width="9.140625" style="59"/>
    <col min="1805" max="1805" width="10.140625" style="59" customWidth="1"/>
    <col min="1806" max="1808" width="10" style="59" bestFit="1" customWidth="1"/>
    <col min="1809" max="2048" width="9.140625" style="59"/>
    <col min="2049" max="2049" width="11" style="59" customWidth="1"/>
    <col min="2050" max="2050" width="8.42578125" style="59" customWidth="1"/>
    <col min="2051" max="2051" width="11.140625" style="59" customWidth="1"/>
    <col min="2052" max="2052" width="10.140625" style="59" customWidth="1"/>
    <col min="2053" max="2053" width="10.28515625" style="59" customWidth="1"/>
    <col min="2054" max="2054" width="10.85546875" style="59" bestFit="1" customWidth="1"/>
    <col min="2055" max="2055" width="11.28515625" style="59" bestFit="1" customWidth="1"/>
    <col min="2056" max="2056" width="9.140625" style="59" bestFit="1" customWidth="1"/>
    <col min="2057" max="2057" width="11" style="59" customWidth="1"/>
    <col min="2058" max="2058" width="10.28515625" style="59" customWidth="1"/>
    <col min="2059" max="2060" width="9.140625" style="59"/>
    <col min="2061" max="2061" width="10.140625" style="59" customWidth="1"/>
    <col min="2062" max="2064" width="10" style="59" bestFit="1" customWidth="1"/>
    <col min="2065" max="2304" width="9.140625" style="59"/>
    <col min="2305" max="2305" width="11" style="59" customWidth="1"/>
    <col min="2306" max="2306" width="8.42578125" style="59" customWidth="1"/>
    <col min="2307" max="2307" width="11.140625" style="59" customWidth="1"/>
    <col min="2308" max="2308" width="10.140625" style="59" customWidth="1"/>
    <col min="2309" max="2309" width="10.28515625" style="59" customWidth="1"/>
    <col min="2310" max="2310" width="10.85546875" style="59" bestFit="1" customWidth="1"/>
    <col min="2311" max="2311" width="11.28515625" style="59" bestFit="1" customWidth="1"/>
    <col min="2312" max="2312" width="9.140625" style="59" bestFit="1" customWidth="1"/>
    <col min="2313" max="2313" width="11" style="59" customWidth="1"/>
    <col min="2314" max="2314" width="10.28515625" style="59" customWidth="1"/>
    <col min="2315" max="2316" width="9.140625" style="59"/>
    <col min="2317" max="2317" width="10.140625" style="59" customWidth="1"/>
    <col min="2318" max="2320" width="10" style="59" bestFit="1" customWidth="1"/>
    <col min="2321" max="2560" width="9.140625" style="59"/>
    <col min="2561" max="2561" width="11" style="59" customWidth="1"/>
    <col min="2562" max="2562" width="8.42578125" style="59" customWidth="1"/>
    <col min="2563" max="2563" width="11.140625" style="59" customWidth="1"/>
    <col min="2564" max="2564" width="10.140625" style="59" customWidth="1"/>
    <col min="2565" max="2565" width="10.28515625" style="59" customWidth="1"/>
    <col min="2566" max="2566" width="10.85546875" style="59" bestFit="1" customWidth="1"/>
    <col min="2567" max="2567" width="11.28515625" style="59" bestFit="1" customWidth="1"/>
    <col min="2568" max="2568" width="9.140625" style="59" bestFit="1" customWidth="1"/>
    <col min="2569" max="2569" width="11" style="59" customWidth="1"/>
    <col min="2570" max="2570" width="10.28515625" style="59" customWidth="1"/>
    <col min="2571" max="2572" width="9.140625" style="59"/>
    <col min="2573" max="2573" width="10.140625" style="59" customWidth="1"/>
    <col min="2574" max="2576" width="10" style="59" bestFit="1" customWidth="1"/>
    <col min="2577" max="2816" width="9.140625" style="59"/>
    <col min="2817" max="2817" width="11" style="59" customWidth="1"/>
    <col min="2818" max="2818" width="8.42578125" style="59" customWidth="1"/>
    <col min="2819" max="2819" width="11.140625" style="59" customWidth="1"/>
    <col min="2820" max="2820" width="10.140625" style="59" customWidth="1"/>
    <col min="2821" max="2821" width="10.28515625" style="59" customWidth="1"/>
    <col min="2822" max="2822" width="10.85546875" style="59" bestFit="1" customWidth="1"/>
    <col min="2823" max="2823" width="11.28515625" style="59" bestFit="1" customWidth="1"/>
    <col min="2824" max="2824" width="9.140625" style="59" bestFit="1" customWidth="1"/>
    <col min="2825" max="2825" width="11" style="59" customWidth="1"/>
    <col min="2826" max="2826" width="10.28515625" style="59" customWidth="1"/>
    <col min="2827" max="2828" width="9.140625" style="59"/>
    <col min="2829" max="2829" width="10.140625" style="59" customWidth="1"/>
    <col min="2830" max="2832" width="10" style="59" bestFit="1" customWidth="1"/>
    <col min="2833" max="3072" width="9.140625" style="59"/>
    <col min="3073" max="3073" width="11" style="59" customWidth="1"/>
    <col min="3074" max="3074" width="8.42578125" style="59" customWidth="1"/>
    <col min="3075" max="3075" width="11.140625" style="59" customWidth="1"/>
    <col min="3076" max="3076" width="10.140625" style="59" customWidth="1"/>
    <col min="3077" max="3077" width="10.28515625" style="59" customWidth="1"/>
    <col min="3078" max="3078" width="10.85546875" style="59" bestFit="1" customWidth="1"/>
    <col min="3079" max="3079" width="11.28515625" style="59" bestFit="1" customWidth="1"/>
    <col min="3080" max="3080" width="9.140625" style="59" bestFit="1" customWidth="1"/>
    <col min="3081" max="3081" width="11" style="59" customWidth="1"/>
    <col min="3082" max="3082" width="10.28515625" style="59" customWidth="1"/>
    <col min="3083" max="3084" width="9.140625" style="59"/>
    <col min="3085" max="3085" width="10.140625" style="59" customWidth="1"/>
    <col min="3086" max="3088" width="10" style="59" bestFit="1" customWidth="1"/>
    <col min="3089" max="3328" width="9.140625" style="59"/>
    <col min="3329" max="3329" width="11" style="59" customWidth="1"/>
    <col min="3330" max="3330" width="8.42578125" style="59" customWidth="1"/>
    <col min="3331" max="3331" width="11.140625" style="59" customWidth="1"/>
    <col min="3332" max="3332" width="10.140625" style="59" customWidth="1"/>
    <col min="3333" max="3333" width="10.28515625" style="59" customWidth="1"/>
    <col min="3334" max="3334" width="10.85546875" style="59" bestFit="1" customWidth="1"/>
    <col min="3335" max="3335" width="11.28515625" style="59" bestFit="1" customWidth="1"/>
    <col min="3336" max="3336" width="9.140625" style="59" bestFit="1" customWidth="1"/>
    <col min="3337" max="3337" width="11" style="59" customWidth="1"/>
    <col min="3338" max="3338" width="10.28515625" style="59" customWidth="1"/>
    <col min="3339" max="3340" width="9.140625" style="59"/>
    <col min="3341" max="3341" width="10.140625" style="59" customWidth="1"/>
    <col min="3342" max="3344" width="10" style="59" bestFit="1" customWidth="1"/>
    <col min="3345" max="3584" width="9.140625" style="59"/>
    <col min="3585" max="3585" width="11" style="59" customWidth="1"/>
    <col min="3586" max="3586" width="8.42578125" style="59" customWidth="1"/>
    <col min="3587" max="3587" width="11.140625" style="59" customWidth="1"/>
    <col min="3588" max="3588" width="10.140625" style="59" customWidth="1"/>
    <col min="3589" max="3589" width="10.28515625" style="59" customWidth="1"/>
    <col min="3590" max="3590" width="10.85546875" style="59" bestFit="1" customWidth="1"/>
    <col min="3591" max="3591" width="11.28515625" style="59" bestFit="1" customWidth="1"/>
    <col min="3592" max="3592" width="9.140625" style="59" bestFit="1" customWidth="1"/>
    <col min="3593" max="3593" width="11" style="59" customWidth="1"/>
    <col min="3594" max="3594" width="10.28515625" style="59" customWidth="1"/>
    <col min="3595" max="3596" width="9.140625" style="59"/>
    <col min="3597" max="3597" width="10.140625" style="59" customWidth="1"/>
    <col min="3598" max="3600" width="10" style="59" bestFit="1" customWidth="1"/>
    <col min="3601" max="3840" width="9.140625" style="59"/>
    <col min="3841" max="3841" width="11" style="59" customWidth="1"/>
    <col min="3842" max="3842" width="8.42578125" style="59" customWidth="1"/>
    <col min="3843" max="3843" width="11.140625" style="59" customWidth="1"/>
    <col min="3844" max="3844" width="10.140625" style="59" customWidth="1"/>
    <col min="3845" max="3845" width="10.28515625" style="59" customWidth="1"/>
    <col min="3846" max="3846" width="10.85546875" style="59" bestFit="1" customWidth="1"/>
    <col min="3847" max="3847" width="11.28515625" style="59" bestFit="1" customWidth="1"/>
    <col min="3848" max="3848" width="9.140625" style="59" bestFit="1" customWidth="1"/>
    <col min="3849" max="3849" width="11" style="59" customWidth="1"/>
    <col min="3850" max="3850" width="10.28515625" style="59" customWidth="1"/>
    <col min="3851" max="3852" width="9.140625" style="59"/>
    <col min="3853" max="3853" width="10.140625" style="59" customWidth="1"/>
    <col min="3854" max="3856" width="10" style="59" bestFit="1" customWidth="1"/>
    <col min="3857" max="4096" width="9.140625" style="59"/>
    <col min="4097" max="4097" width="11" style="59" customWidth="1"/>
    <col min="4098" max="4098" width="8.42578125" style="59" customWidth="1"/>
    <col min="4099" max="4099" width="11.140625" style="59" customWidth="1"/>
    <col min="4100" max="4100" width="10.140625" style="59" customWidth="1"/>
    <col min="4101" max="4101" width="10.28515625" style="59" customWidth="1"/>
    <col min="4102" max="4102" width="10.85546875" style="59" bestFit="1" customWidth="1"/>
    <col min="4103" max="4103" width="11.28515625" style="59" bestFit="1" customWidth="1"/>
    <col min="4104" max="4104" width="9.140625" style="59" bestFit="1" customWidth="1"/>
    <col min="4105" max="4105" width="11" style="59" customWidth="1"/>
    <col min="4106" max="4106" width="10.28515625" style="59" customWidth="1"/>
    <col min="4107" max="4108" width="9.140625" style="59"/>
    <col min="4109" max="4109" width="10.140625" style="59" customWidth="1"/>
    <col min="4110" max="4112" width="10" style="59" bestFit="1" customWidth="1"/>
    <col min="4113" max="4352" width="9.140625" style="59"/>
    <col min="4353" max="4353" width="11" style="59" customWidth="1"/>
    <col min="4354" max="4354" width="8.42578125" style="59" customWidth="1"/>
    <col min="4355" max="4355" width="11.140625" style="59" customWidth="1"/>
    <col min="4356" max="4356" width="10.140625" style="59" customWidth="1"/>
    <col min="4357" max="4357" width="10.28515625" style="59" customWidth="1"/>
    <col min="4358" max="4358" width="10.85546875" style="59" bestFit="1" customWidth="1"/>
    <col min="4359" max="4359" width="11.28515625" style="59" bestFit="1" customWidth="1"/>
    <col min="4360" max="4360" width="9.140625" style="59" bestFit="1" customWidth="1"/>
    <col min="4361" max="4361" width="11" style="59" customWidth="1"/>
    <col min="4362" max="4362" width="10.28515625" style="59" customWidth="1"/>
    <col min="4363" max="4364" width="9.140625" style="59"/>
    <col min="4365" max="4365" width="10.140625" style="59" customWidth="1"/>
    <col min="4366" max="4368" width="10" style="59" bestFit="1" customWidth="1"/>
    <col min="4369" max="4608" width="9.140625" style="59"/>
    <col min="4609" max="4609" width="11" style="59" customWidth="1"/>
    <col min="4610" max="4610" width="8.42578125" style="59" customWidth="1"/>
    <col min="4611" max="4611" width="11.140625" style="59" customWidth="1"/>
    <col min="4612" max="4612" width="10.140625" style="59" customWidth="1"/>
    <col min="4613" max="4613" width="10.28515625" style="59" customWidth="1"/>
    <col min="4614" max="4614" width="10.85546875" style="59" bestFit="1" customWidth="1"/>
    <col min="4615" max="4615" width="11.28515625" style="59" bestFit="1" customWidth="1"/>
    <col min="4616" max="4616" width="9.140625" style="59" bestFit="1" customWidth="1"/>
    <col min="4617" max="4617" width="11" style="59" customWidth="1"/>
    <col min="4618" max="4618" width="10.28515625" style="59" customWidth="1"/>
    <col min="4619" max="4620" width="9.140625" style="59"/>
    <col min="4621" max="4621" width="10.140625" style="59" customWidth="1"/>
    <col min="4622" max="4624" width="10" style="59" bestFit="1" customWidth="1"/>
    <col min="4625" max="4864" width="9.140625" style="59"/>
    <col min="4865" max="4865" width="11" style="59" customWidth="1"/>
    <col min="4866" max="4866" width="8.42578125" style="59" customWidth="1"/>
    <col min="4867" max="4867" width="11.140625" style="59" customWidth="1"/>
    <col min="4868" max="4868" width="10.140625" style="59" customWidth="1"/>
    <col min="4869" max="4869" width="10.28515625" style="59" customWidth="1"/>
    <col min="4870" max="4870" width="10.85546875" style="59" bestFit="1" customWidth="1"/>
    <col min="4871" max="4871" width="11.28515625" style="59" bestFit="1" customWidth="1"/>
    <col min="4872" max="4872" width="9.140625" style="59" bestFit="1" customWidth="1"/>
    <col min="4873" max="4873" width="11" style="59" customWidth="1"/>
    <col min="4874" max="4874" width="10.28515625" style="59" customWidth="1"/>
    <col min="4875" max="4876" width="9.140625" style="59"/>
    <col min="4877" max="4877" width="10.140625" style="59" customWidth="1"/>
    <col min="4878" max="4880" width="10" style="59" bestFit="1" customWidth="1"/>
    <col min="4881" max="5120" width="9.140625" style="59"/>
    <col min="5121" max="5121" width="11" style="59" customWidth="1"/>
    <col min="5122" max="5122" width="8.42578125" style="59" customWidth="1"/>
    <col min="5123" max="5123" width="11.140625" style="59" customWidth="1"/>
    <col min="5124" max="5124" width="10.140625" style="59" customWidth="1"/>
    <col min="5125" max="5125" width="10.28515625" style="59" customWidth="1"/>
    <col min="5126" max="5126" width="10.85546875" style="59" bestFit="1" customWidth="1"/>
    <col min="5127" max="5127" width="11.28515625" style="59" bestFit="1" customWidth="1"/>
    <col min="5128" max="5128" width="9.140625" style="59" bestFit="1" customWidth="1"/>
    <col min="5129" max="5129" width="11" style="59" customWidth="1"/>
    <col min="5130" max="5130" width="10.28515625" style="59" customWidth="1"/>
    <col min="5131" max="5132" width="9.140625" style="59"/>
    <col min="5133" max="5133" width="10.140625" style="59" customWidth="1"/>
    <col min="5134" max="5136" width="10" style="59" bestFit="1" customWidth="1"/>
    <col min="5137" max="5376" width="9.140625" style="59"/>
    <col min="5377" max="5377" width="11" style="59" customWidth="1"/>
    <col min="5378" max="5378" width="8.42578125" style="59" customWidth="1"/>
    <col min="5379" max="5379" width="11.140625" style="59" customWidth="1"/>
    <col min="5380" max="5380" width="10.140625" style="59" customWidth="1"/>
    <col min="5381" max="5381" width="10.28515625" style="59" customWidth="1"/>
    <col min="5382" max="5382" width="10.85546875" style="59" bestFit="1" customWidth="1"/>
    <col min="5383" max="5383" width="11.28515625" style="59" bestFit="1" customWidth="1"/>
    <col min="5384" max="5384" width="9.140625" style="59" bestFit="1" customWidth="1"/>
    <col min="5385" max="5385" width="11" style="59" customWidth="1"/>
    <col min="5386" max="5386" width="10.28515625" style="59" customWidth="1"/>
    <col min="5387" max="5388" width="9.140625" style="59"/>
    <col min="5389" max="5389" width="10.140625" style="59" customWidth="1"/>
    <col min="5390" max="5392" width="10" style="59" bestFit="1" customWidth="1"/>
    <col min="5393" max="5632" width="9.140625" style="59"/>
    <col min="5633" max="5633" width="11" style="59" customWidth="1"/>
    <col min="5634" max="5634" width="8.42578125" style="59" customWidth="1"/>
    <col min="5635" max="5635" width="11.140625" style="59" customWidth="1"/>
    <col min="5636" max="5636" width="10.140625" style="59" customWidth="1"/>
    <col min="5637" max="5637" width="10.28515625" style="59" customWidth="1"/>
    <col min="5638" max="5638" width="10.85546875" style="59" bestFit="1" customWidth="1"/>
    <col min="5639" max="5639" width="11.28515625" style="59" bestFit="1" customWidth="1"/>
    <col min="5640" max="5640" width="9.140625" style="59" bestFit="1" customWidth="1"/>
    <col min="5641" max="5641" width="11" style="59" customWidth="1"/>
    <col min="5642" max="5642" width="10.28515625" style="59" customWidth="1"/>
    <col min="5643" max="5644" width="9.140625" style="59"/>
    <col min="5645" max="5645" width="10.140625" style="59" customWidth="1"/>
    <col min="5646" max="5648" width="10" style="59" bestFit="1" customWidth="1"/>
    <col min="5649" max="5888" width="9.140625" style="59"/>
    <col min="5889" max="5889" width="11" style="59" customWidth="1"/>
    <col min="5890" max="5890" width="8.42578125" style="59" customWidth="1"/>
    <col min="5891" max="5891" width="11.140625" style="59" customWidth="1"/>
    <col min="5892" max="5892" width="10.140625" style="59" customWidth="1"/>
    <col min="5893" max="5893" width="10.28515625" style="59" customWidth="1"/>
    <col min="5894" max="5894" width="10.85546875" style="59" bestFit="1" customWidth="1"/>
    <col min="5895" max="5895" width="11.28515625" style="59" bestFit="1" customWidth="1"/>
    <col min="5896" max="5896" width="9.140625" style="59" bestFit="1" customWidth="1"/>
    <col min="5897" max="5897" width="11" style="59" customWidth="1"/>
    <col min="5898" max="5898" width="10.28515625" style="59" customWidth="1"/>
    <col min="5899" max="5900" width="9.140625" style="59"/>
    <col min="5901" max="5901" width="10.140625" style="59" customWidth="1"/>
    <col min="5902" max="5904" width="10" style="59" bestFit="1" customWidth="1"/>
    <col min="5905" max="6144" width="9.140625" style="59"/>
    <col min="6145" max="6145" width="11" style="59" customWidth="1"/>
    <col min="6146" max="6146" width="8.42578125" style="59" customWidth="1"/>
    <col min="6147" max="6147" width="11.140625" style="59" customWidth="1"/>
    <col min="6148" max="6148" width="10.140625" style="59" customWidth="1"/>
    <col min="6149" max="6149" width="10.28515625" style="59" customWidth="1"/>
    <col min="6150" max="6150" width="10.85546875" style="59" bestFit="1" customWidth="1"/>
    <col min="6151" max="6151" width="11.28515625" style="59" bestFit="1" customWidth="1"/>
    <col min="6152" max="6152" width="9.140625" style="59" bestFit="1" customWidth="1"/>
    <col min="6153" max="6153" width="11" style="59" customWidth="1"/>
    <col min="6154" max="6154" width="10.28515625" style="59" customWidth="1"/>
    <col min="6155" max="6156" width="9.140625" style="59"/>
    <col min="6157" max="6157" width="10.140625" style="59" customWidth="1"/>
    <col min="6158" max="6160" width="10" style="59" bestFit="1" customWidth="1"/>
    <col min="6161" max="6400" width="9.140625" style="59"/>
    <col min="6401" max="6401" width="11" style="59" customWidth="1"/>
    <col min="6402" max="6402" width="8.42578125" style="59" customWidth="1"/>
    <col min="6403" max="6403" width="11.140625" style="59" customWidth="1"/>
    <col min="6404" max="6404" width="10.140625" style="59" customWidth="1"/>
    <col min="6405" max="6405" width="10.28515625" style="59" customWidth="1"/>
    <col min="6406" max="6406" width="10.85546875" style="59" bestFit="1" customWidth="1"/>
    <col min="6407" max="6407" width="11.28515625" style="59" bestFit="1" customWidth="1"/>
    <col min="6408" max="6408" width="9.140625" style="59" bestFit="1" customWidth="1"/>
    <col min="6409" max="6409" width="11" style="59" customWidth="1"/>
    <col min="6410" max="6410" width="10.28515625" style="59" customWidth="1"/>
    <col min="6411" max="6412" width="9.140625" style="59"/>
    <col min="6413" max="6413" width="10.140625" style="59" customWidth="1"/>
    <col min="6414" max="6416" width="10" style="59" bestFit="1" customWidth="1"/>
    <col min="6417" max="6656" width="9.140625" style="59"/>
    <col min="6657" max="6657" width="11" style="59" customWidth="1"/>
    <col min="6658" max="6658" width="8.42578125" style="59" customWidth="1"/>
    <col min="6659" max="6659" width="11.140625" style="59" customWidth="1"/>
    <col min="6660" max="6660" width="10.140625" style="59" customWidth="1"/>
    <col min="6661" max="6661" width="10.28515625" style="59" customWidth="1"/>
    <col min="6662" max="6662" width="10.85546875" style="59" bestFit="1" customWidth="1"/>
    <col min="6663" max="6663" width="11.28515625" style="59" bestFit="1" customWidth="1"/>
    <col min="6664" max="6664" width="9.140625" style="59" bestFit="1" customWidth="1"/>
    <col min="6665" max="6665" width="11" style="59" customWidth="1"/>
    <col min="6666" max="6666" width="10.28515625" style="59" customWidth="1"/>
    <col min="6667" max="6668" width="9.140625" style="59"/>
    <col min="6669" max="6669" width="10.140625" style="59" customWidth="1"/>
    <col min="6670" max="6672" width="10" style="59" bestFit="1" customWidth="1"/>
    <col min="6673" max="6912" width="9.140625" style="59"/>
    <col min="6913" max="6913" width="11" style="59" customWidth="1"/>
    <col min="6914" max="6914" width="8.42578125" style="59" customWidth="1"/>
    <col min="6915" max="6915" width="11.140625" style="59" customWidth="1"/>
    <col min="6916" max="6916" width="10.140625" style="59" customWidth="1"/>
    <col min="6917" max="6917" width="10.28515625" style="59" customWidth="1"/>
    <col min="6918" max="6918" width="10.85546875" style="59" bestFit="1" customWidth="1"/>
    <col min="6919" max="6919" width="11.28515625" style="59" bestFit="1" customWidth="1"/>
    <col min="6920" max="6920" width="9.140625" style="59" bestFit="1" customWidth="1"/>
    <col min="6921" max="6921" width="11" style="59" customWidth="1"/>
    <col min="6922" max="6922" width="10.28515625" style="59" customWidth="1"/>
    <col min="6923" max="6924" width="9.140625" style="59"/>
    <col min="6925" max="6925" width="10.140625" style="59" customWidth="1"/>
    <col min="6926" max="6928" width="10" style="59" bestFit="1" customWidth="1"/>
    <col min="6929" max="7168" width="9.140625" style="59"/>
    <col min="7169" max="7169" width="11" style="59" customWidth="1"/>
    <col min="7170" max="7170" width="8.42578125" style="59" customWidth="1"/>
    <col min="7171" max="7171" width="11.140625" style="59" customWidth="1"/>
    <col min="7172" max="7172" width="10.140625" style="59" customWidth="1"/>
    <col min="7173" max="7173" width="10.28515625" style="59" customWidth="1"/>
    <col min="7174" max="7174" width="10.85546875" style="59" bestFit="1" customWidth="1"/>
    <col min="7175" max="7175" width="11.28515625" style="59" bestFit="1" customWidth="1"/>
    <col min="7176" max="7176" width="9.140625" style="59" bestFit="1" customWidth="1"/>
    <col min="7177" max="7177" width="11" style="59" customWidth="1"/>
    <col min="7178" max="7178" width="10.28515625" style="59" customWidth="1"/>
    <col min="7179" max="7180" width="9.140625" style="59"/>
    <col min="7181" max="7181" width="10.140625" style="59" customWidth="1"/>
    <col min="7182" max="7184" width="10" style="59" bestFit="1" customWidth="1"/>
    <col min="7185" max="7424" width="9.140625" style="59"/>
    <col min="7425" max="7425" width="11" style="59" customWidth="1"/>
    <col min="7426" max="7426" width="8.42578125" style="59" customWidth="1"/>
    <col min="7427" max="7427" width="11.140625" style="59" customWidth="1"/>
    <col min="7428" max="7428" width="10.140625" style="59" customWidth="1"/>
    <col min="7429" max="7429" width="10.28515625" style="59" customWidth="1"/>
    <col min="7430" max="7430" width="10.85546875" style="59" bestFit="1" customWidth="1"/>
    <col min="7431" max="7431" width="11.28515625" style="59" bestFit="1" customWidth="1"/>
    <col min="7432" max="7432" width="9.140625" style="59" bestFit="1" customWidth="1"/>
    <col min="7433" max="7433" width="11" style="59" customWidth="1"/>
    <col min="7434" max="7434" width="10.28515625" style="59" customWidth="1"/>
    <col min="7435" max="7436" width="9.140625" style="59"/>
    <col min="7437" max="7437" width="10.140625" style="59" customWidth="1"/>
    <col min="7438" max="7440" width="10" style="59" bestFit="1" customWidth="1"/>
    <col min="7441" max="7680" width="9.140625" style="59"/>
    <col min="7681" max="7681" width="11" style="59" customWidth="1"/>
    <col min="7682" max="7682" width="8.42578125" style="59" customWidth="1"/>
    <col min="7683" max="7683" width="11.140625" style="59" customWidth="1"/>
    <col min="7684" max="7684" width="10.140625" style="59" customWidth="1"/>
    <col min="7685" max="7685" width="10.28515625" style="59" customWidth="1"/>
    <col min="7686" max="7686" width="10.85546875" style="59" bestFit="1" customWidth="1"/>
    <col min="7687" max="7687" width="11.28515625" style="59" bestFit="1" customWidth="1"/>
    <col min="7688" max="7688" width="9.140625" style="59" bestFit="1" customWidth="1"/>
    <col min="7689" max="7689" width="11" style="59" customWidth="1"/>
    <col min="7690" max="7690" width="10.28515625" style="59" customWidth="1"/>
    <col min="7691" max="7692" width="9.140625" style="59"/>
    <col min="7693" max="7693" width="10.140625" style="59" customWidth="1"/>
    <col min="7694" max="7696" width="10" style="59" bestFit="1" customWidth="1"/>
    <col min="7697" max="7936" width="9.140625" style="59"/>
    <col min="7937" max="7937" width="11" style="59" customWidth="1"/>
    <col min="7938" max="7938" width="8.42578125" style="59" customWidth="1"/>
    <col min="7939" max="7939" width="11.140625" style="59" customWidth="1"/>
    <col min="7940" max="7940" width="10.140625" style="59" customWidth="1"/>
    <col min="7941" max="7941" width="10.28515625" style="59" customWidth="1"/>
    <col min="7942" max="7942" width="10.85546875" style="59" bestFit="1" customWidth="1"/>
    <col min="7943" max="7943" width="11.28515625" style="59" bestFit="1" customWidth="1"/>
    <col min="7944" max="7944" width="9.140625" style="59" bestFit="1" customWidth="1"/>
    <col min="7945" max="7945" width="11" style="59" customWidth="1"/>
    <col min="7946" max="7946" width="10.28515625" style="59" customWidth="1"/>
    <col min="7947" max="7948" width="9.140625" style="59"/>
    <col min="7949" max="7949" width="10.140625" style="59" customWidth="1"/>
    <col min="7950" max="7952" width="10" style="59" bestFit="1" customWidth="1"/>
    <col min="7953" max="8192" width="9.140625" style="59"/>
    <col min="8193" max="8193" width="11" style="59" customWidth="1"/>
    <col min="8194" max="8194" width="8.42578125" style="59" customWidth="1"/>
    <col min="8195" max="8195" width="11.140625" style="59" customWidth="1"/>
    <col min="8196" max="8196" width="10.140625" style="59" customWidth="1"/>
    <col min="8197" max="8197" width="10.28515625" style="59" customWidth="1"/>
    <col min="8198" max="8198" width="10.85546875" style="59" bestFit="1" customWidth="1"/>
    <col min="8199" max="8199" width="11.28515625" style="59" bestFit="1" customWidth="1"/>
    <col min="8200" max="8200" width="9.140625" style="59" bestFit="1" customWidth="1"/>
    <col min="8201" max="8201" width="11" style="59" customWidth="1"/>
    <col min="8202" max="8202" width="10.28515625" style="59" customWidth="1"/>
    <col min="8203" max="8204" width="9.140625" style="59"/>
    <col min="8205" max="8205" width="10.140625" style="59" customWidth="1"/>
    <col min="8206" max="8208" width="10" style="59" bestFit="1" customWidth="1"/>
    <col min="8209" max="8448" width="9.140625" style="59"/>
    <col min="8449" max="8449" width="11" style="59" customWidth="1"/>
    <col min="8450" max="8450" width="8.42578125" style="59" customWidth="1"/>
    <col min="8451" max="8451" width="11.140625" style="59" customWidth="1"/>
    <col min="8452" max="8452" width="10.140625" style="59" customWidth="1"/>
    <col min="8453" max="8453" width="10.28515625" style="59" customWidth="1"/>
    <col min="8454" max="8454" width="10.85546875" style="59" bestFit="1" customWidth="1"/>
    <col min="8455" max="8455" width="11.28515625" style="59" bestFit="1" customWidth="1"/>
    <col min="8456" max="8456" width="9.140625" style="59" bestFit="1" customWidth="1"/>
    <col min="8457" max="8457" width="11" style="59" customWidth="1"/>
    <col min="8458" max="8458" width="10.28515625" style="59" customWidth="1"/>
    <col min="8459" max="8460" width="9.140625" style="59"/>
    <col min="8461" max="8461" width="10.140625" style="59" customWidth="1"/>
    <col min="8462" max="8464" width="10" style="59" bestFit="1" customWidth="1"/>
    <col min="8465" max="8704" width="9.140625" style="59"/>
    <col min="8705" max="8705" width="11" style="59" customWidth="1"/>
    <col min="8706" max="8706" width="8.42578125" style="59" customWidth="1"/>
    <col min="8707" max="8707" width="11.140625" style="59" customWidth="1"/>
    <col min="8708" max="8708" width="10.140625" style="59" customWidth="1"/>
    <col min="8709" max="8709" width="10.28515625" style="59" customWidth="1"/>
    <col min="8710" max="8710" width="10.85546875" style="59" bestFit="1" customWidth="1"/>
    <col min="8711" max="8711" width="11.28515625" style="59" bestFit="1" customWidth="1"/>
    <col min="8712" max="8712" width="9.140625" style="59" bestFit="1" customWidth="1"/>
    <col min="8713" max="8713" width="11" style="59" customWidth="1"/>
    <col min="8714" max="8714" width="10.28515625" style="59" customWidth="1"/>
    <col min="8715" max="8716" width="9.140625" style="59"/>
    <col min="8717" max="8717" width="10.140625" style="59" customWidth="1"/>
    <col min="8718" max="8720" width="10" style="59" bestFit="1" customWidth="1"/>
    <col min="8721" max="8960" width="9.140625" style="59"/>
    <col min="8961" max="8961" width="11" style="59" customWidth="1"/>
    <col min="8962" max="8962" width="8.42578125" style="59" customWidth="1"/>
    <col min="8963" max="8963" width="11.140625" style="59" customWidth="1"/>
    <col min="8964" max="8964" width="10.140625" style="59" customWidth="1"/>
    <col min="8965" max="8965" width="10.28515625" style="59" customWidth="1"/>
    <col min="8966" max="8966" width="10.85546875" style="59" bestFit="1" customWidth="1"/>
    <col min="8967" max="8967" width="11.28515625" style="59" bestFit="1" customWidth="1"/>
    <col min="8968" max="8968" width="9.140625" style="59" bestFit="1" customWidth="1"/>
    <col min="8969" max="8969" width="11" style="59" customWidth="1"/>
    <col min="8970" max="8970" width="10.28515625" style="59" customWidth="1"/>
    <col min="8971" max="8972" width="9.140625" style="59"/>
    <col min="8973" max="8973" width="10.140625" style="59" customWidth="1"/>
    <col min="8974" max="8976" width="10" style="59" bestFit="1" customWidth="1"/>
    <col min="8977" max="9216" width="9.140625" style="59"/>
    <col min="9217" max="9217" width="11" style="59" customWidth="1"/>
    <col min="9218" max="9218" width="8.42578125" style="59" customWidth="1"/>
    <col min="9219" max="9219" width="11.140625" style="59" customWidth="1"/>
    <col min="9220" max="9220" width="10.140625" style="59" customWidth="1"/>
    <col min="9221" max="9221" width="10.28515625" style="59" customWidth="1"/>
    <col min="9222" max="9222" width="10.85546875" style="59" bestFit="1" customWidth="1"/>
    <col min="9223" max="9223" width="11.28515625" style="59" bestFit="1" customWidth="1"/>
    <col min="9224" max="9224" width="9.140625" style="59" bestFit="1" customWidth="1"/>
    <col min="9225" max="9225" width="11" style="59" customWidth="1"/>
    <col min="9226" max="9226" width="10.28515625" style="59" customWidth="1"/>
    <col min="9227" max="9228" width="9.140625" style="59"/>
    <col min="9229" max="9229" width="10.140625" style="59" customWidth="1"/>
    <col min="9230" max="9232" width="10" style="59" bestFit="1" customWidth="1"/>
    <col min="9233" max="9472" width="9.140625" style="59"/>
    <col min="9473" max="9473" width="11" style="59" customWidth="1"/>
    <col min="9474" max="9474" width="8.42578125" style="59" customWidth="1"/>
    <col min="9475" max="9475" width="11.140625" style="59" customWidth="1"/>
    <col min="9476" max="9476" width="10.140625" style="59" customWidth="1"/>
    <col min="9477" max="9477" width="10.28515625" style="59" customWidth="1"/>
    <col min="9478" max="9478" width="10.85546875" style="59" bestFit="1" customWidth="1"/>
    <col min="9479" max="9479" width="11.28515625" style="59" bestFit="1" customWidth="1"/>
    <col min="9480" max="9480" width="9.140625" style="59" bestFit="1" customWidth="1"/>
    <col min="9481" max="9481" width="11" style="59" customWidth="1"/>
    <col min="9482" max="9482" width="10.28515625" style="59" customWidth="1"/>
    <col min="9483" max="9484" width="9.140625" style="59"/>
    <col min="9485" max="9485" width="10.140625" style="59" customWidth="1"/>
    <col min="9486" max="9488" width="10" style="59" bestFit="1" customWidth="1"/>
    <col min="9489" max="9728" width="9.140625" style="59"/>
    <col min="9729" max="9729" width="11" style="59" customWidth="1"/>
    <col min="9730" max="9730" width="8.42578125" style="59" customWidth="1"/>
    <col min="9731" max="9731" width="11.140625" style="59" customWidth="1"/>
    <col min="9732" max="9732" width="10.140625" style="59" customWidth="1"/>
    <col min="9733" max="9733" width="10.28515625" style="59" customWidth="1"/>
    <col min="9734" max="9734" width="10.85546875" style="59" bestFit="1" customWidth="1"/>
    <col min="9735" max="9735" width="11.28515625" style="59" bestFit="1" customWidth="1"/>
    <col min="9736" max="9736" width="9.140625" style="59" bestFit="1" customWidth="1"/>
    <col min="9737" max="9737" width="11" style="59" customWidth="1"/>
    <col min="9738" max="9738" width="10.28515625" style="59" customWidth="1"/>
    <col min="9739" max="9740" width="9.140625" style="59"/>
    <col min="9741" max="9741" width="10.140625" style="59" customWidth="1"/>
    <col min="9742" max="9744" width="10" style="59" bestFit="1" customWidth="1"/>
    <col min="9745" max="9984" width="9.140625" style="59"/>
    <col min="9985" max="9985" width="11" style="59" customWidth="1"/>
    <col min="9986" max="9986" width="8.42578125" style="59" customWidth="1"/>
    <col min="9987" max="9987" width="11.140625" style="59" customWidth="1"/>
    <col min="9988" max="9988" width="10.140625" style="59" customWidth="1"/>
    <col min="9989" max="9989" width="10.28515625" style="59" customWidth="1"/>
    <col min="9990" max="9990" width="10.85546875" style="59" bestFit="1" customWidth="1"/>
    <col min="9991" max="9991" width="11.28515625" style="59" bestFit="1" customWidth="1"/>
    <col min="9992" max="9992" width="9.140625" style="59" bestFit="1" customWidth="1"/>
    <col min="9993" max="9993" width="11" style="59" customWidth="1"/>
    <col min="9994" max="9994" width="10.28515625" style="59" customWidth="1"/>
    <col min="9995" max="9996" width="9.140625" style="59"/>
    <col min="9997" max="9997" width="10.140625" style="59" customWidth="1"/>
    <col min="9998" max="10000" width="10" style="59" bestFit="1" customWidth="1"/>
    <col min="10001" max="10240" width="9.140625" style="59"/>
    <col min="10241" max="10241" width="11" style="59" customWidth="1"/>
    <col min="10242" max="10242" width="8.42578125" style="59" customWidth="1"/>
    <col min="10243" max="10243" width="11.140625" style="59" customWidth="1"/>
    <col min="10244" max="10244" width="10.140625" style="59" customWidth="1"/>
    <col min="10245" max="10245" width="10.28515625" style="59" customWidth="1"/>
    <col min="10246" max="10246" width="10.85546875" style="59" bestFit="1" customWidth="1"/>
    <col min="10247" max="10247" width="11.28515625" style="59" bestFit="1" customWidth="1"/>
    <col min="10248" max="10248" width="9.140625" style="59" bestFit="1" customWidth="1"/>
    <col min="10249" max="10249" width="11" style="59" customWidth="1"/>
    <col min="10250" max="10250" width="10.28515625" style="59" customWidth="1"/>
    <col min="10251" max="10252" width="9.140625" style="59"/>
    <col min="10253" max="10253" width="10.140625" style="59" customWidth="1"/>
    <col min="10254" max="10256" width="10" style="59" bestFit="1" customWidth="1"/>
    <col min="10257" max="10496" width="9.140625" style="59"/>
    <col min="10497" max="10497" width="11" style="59" customWidth="1"/>
    <col min="10498" max="10498" width="8.42578125" style="59" customWidth="1"/>
    <col min="10499" max="10499" width="11.140625" style="59" customWidth="1"/>
    <col min="10500" max="10500" width="10.140625" style="59" customWidth="1"/>
    <col min="10501" max="10501" width="10.28515625" style="59" customWidth="1"/>
    <col min="10502" max="10502" width="10.85546875" style="59" bestFit="1" customWidth="1"/>
    <col min="10503" max="10503" width="11.28515625" style="59" bestFit="1" customWidth="1"/>
    <col min="10504" max="10504" width="9.140625" style="59" bestFit="1" customWidth="1"/>
    <col min="10505" max="10505" width="11" style="59" customWidth="1"/>
    <col min="10506" max="10506" width="10.28515625" style="59" customWidth="1"/>
    <col min="10507" max="10508" width="9.140625" style="59"/>
    <col min="10509" max="10509" width="10.140625" style="59" customWidth="1"/>
    <col min="10510" max="10512" width="10" style="59" bestFit="1" customWidth="1"/>
    <col min="10513" max="10752" width="9.140625" style="59"/>
    <col min="10753" max="10753" width="11" style="59" customWidth="1"/>
    <col min="10754" max="10754" width="8.42578125" style="59" customWidth="1"/>
    <col min="10755" max="10755" width="11.140625" style="59" customWidth="1"/>
    <col min="10756" max="10756" width="10.140625" style="59" customWidth="1"/>
    <col min="10757" max="10757" width="10.28515625" style="59" customWidth="1"/>
    <col min="10758" max="10758" width="10.85546875" style="59" bestFit="1" customWidth="1"/>
    <col min="10759" max="10759" width="11.28515625" style="59" bestFit="1" customWidth="1"/>
    <col min="10760" max="10760" width="9.140625" style="59" bestFit="1" customWidth="1"/>
    <col min="10761" max="10761" width="11" style="59" customWidth="1"/>
    <col min="10762" max="10762" width="10.28515625" style="59" customWidth="1"/>
    <col min="10763" max="10764" width="9.140625" style="59"/>
    <col min="10765" max="10765" width="10.140625" style="59" customWidth="1"/>
    <col min="10766" max="10768" width="10" style="59" bestFit="1" customWidth="1"/>
    <col min="10769" max="11008" width="9.140625" style="59"/>
    <col min="11009" max="11009" width="11" style="59" customWidth="1"/>
    <col min="11010" max="11010" width="8.42578125" style="59" customWidth="1"/>
    <col min="11011" max="11011" width="11.140625" style="59" customWidth="1"/>
    <col min="11012" max="11012" width="10.140625" style="59" customWidth="1"/>
    <col min="11013" max="11013" width="10.28515625" style="59" customWidth="1"/>
    <col min="11014" max="11014" width="10.85546875" style="59" bestFit="1" customWidth="1"/>
    <col min="11015" max="11015" width="11.28515625" style="59" bestFit="1" customWidth="1"/>
    <col min="11016" max="11016" width="9.140625" style="59" bestFit="1" customWidth="1"/>
    <col min="11017" max="11017" width="11" style="59" customWidth="1"/>
    <col min="11018" max="11018" width="10.28515625" style="59" customWidth="1"/>
    <col min="11019" max="11020" width="9.140625" style="59"/>
    <col min="11021" max="11021" width="10.140625" style="59" customWidth="1"/>
    <col min="11022" max="11024" width="10" style="59" bestFit="1" customWidth="1"/>
    <col min="11025" max="11264" width="9.140625" style="59"/>
    <col min="11265" max="11265" width="11" style="59" customWidth="1"/>
    <col min="11266" max="11266" width="8.42578125" style="59" customWidth="1"/>
    <col min="11267" max="11267" width="11.140625" style="59" customWidth="1"/>
    <col min="11268" max="11268" width="10.140625" style="59" customWidth="1"/>
    <col min="11269" max="11269" width="10.28515625" style="59" customWidth="1"/>
    <col min="11270" max="11270" width="10.85546875" style="59" bestFit="1" customWidth="1"/>
    <col min="11271" max="11271" width="11.28515625" style="59" bestFit="1" customWidth="1"/>
    <col min="11272" max="11272" width="9.140625" style="59" bestFit="1" customWidth="1"/>
    <col min="11273" max="11273" width="11" style="59" customWidth="1"/>
    <col min="11274" max="11274" width="10.28515625" style="59" customWidth="1"/>
    <col min="11275" max="11276" width="9.140625" style="59"/>
    <col min="11277" max="11277" width="10.140625" style="59" customWidth="1"/>
    <col min="11278" max="11280" width="10" style="59" bestFit="1" customWidth="1"/>
    <col min="11281" max="11520" width="9.140625" style="59"/>
    <col min="11521" max="11521" width="11" style="59" customWidth="1"/>
    <col min="11522" max="11522" width="8.42578125" style="59" customWidth="1"/>
    <col min="11523" max="11523" width="11.140625" style="59" customWidth="1"/>
    <col min="11524" max="11524" width="10.140625" style="59" customWidth="1"/>
    <col min="11525" max="11525" width="10.28515625" style="59" customWidth="1"/>
    <col min="11526" max="11526" width="10.85546875" style="59" bestFit="1" customWidth="1"/>
    <col min="11527" max="11527" width="11.28515625" style="59" bestFit="1" customWidth="1"/>
    <col min="11528" max="11528" width="9.140625" style="59" bestFit="1" customWidth="1"/>
    <col min="11529" max="11529" width="11" style="59" customWidth="1"/>
    <col min="11530" max="11530" width="10.28515625" style="59" customWidth="1"/>
    <col min="11531" max="11532" width="9.140625" style="59"/>
    <col min="11533" max="11533" width="10.140625" style="59" customWidth="1"/>
    <col min="11534" max="11536" width="10" style="59" bestFit="1" customWidth="1"/>
    <col min="11537" max="11776" width="9.140625" style="59"/>
    <col min="11777" max="11777" width="11" style="59" customWidth="1"/>
    <col min="11778" max="11778" width="8.42578125" style="59" customWidth="1"/>
    <col min="11779" max="11779" width="11.140625" style="59" customWidth="1"/>
    <col min="11780" max="11780" width="10.140625" style="59" customWidth="1"/>
    <col min="11781" max="11781" width="10.28515625" style="59" customWidth="1"/>
    <col min="11782" max="11782" width="10.85546875" style="59" bestFit="1" customWidth="1"/>
    <col min="11783" max="11783" width="11.28515625" style="59" bestFit="1" customWidth="1"/>
    <col min="11784" max="11784" width="9.140625" style="59" bestFit="1" customWidth="1"/>
    <col min="11785" max="11785" width="11" style="59" customWidth="1"/>
    <col min="11786" max="11786" width="10.28515625" style="59" customWidth="1"/>
    <col min="11787" max="11788" width="9.140625" style="59"/>
    <col min="11789" max="11789" width="10.140625" style="59" customWidth="1"/>
    <col min="11790" max="11792" width="10" style="59" bestFit="1" customWidth="1"/>
    <col min="11793" max="12032" width="9.140625" style="59"/>
    <col min="12033" max="12033" width="11" style="59" customWidth="1"/>
    <col min="12034" max="12034" width="8.42578125" style="59" customWidth="1"/>
    <col min="12035" max="12035" width="11.140625" style="59" customWidth="1"/>
    <col min="12036" max="12036" width="10.140625" style="59" customWidth="1"/>
    <col min="12037" max="12037" width="10.28515625" style="59" customWidth="1"/>
    <col min="12038" max="12038" width="10.85546875" style="59" bestFit="1" customWidth="1"/>
    <col min="12039" max="12039" width="11.28515625" style="59" bestFit="1" customWidth="1"/>
    <col min="12040" max="12040" width="9.140625" style="59" bestFit="1" customWidth="1"/>
    <col min="12041" max="12041" width="11" style="59" customWidth="1"/>
    <col min="12042" max="12042" width="10.28515625" style="59" customWidth="1"/>
    <col min="12043" max="12044" width="9.140625" style="59"/>
    <col min="12045" max="12045" width="10.140625" style="59" customWidth="1"/>
    <col min="12046" max="12048" width="10" style="59" bestFit="1" customWidth="1"/>
    <col min="12049" max="12288" width="9.140625" style="59"/>
    <col min="12289" max="12289" width="11" style="59" customWidth="1"/>
    <col min="12290" max="12290" width="8.42578125" style="59" customWidth="1"/>
    <col min="12291" max="12291" width="11.140625" style="59" customWidth="1"/>
    <col min="12292" max="12292" width="10.140625" style="59" customWidth="1"/>
    <col min="12293" max="12293" width="10.28515625" style="59" customWidth="1"/>
    <col min="12294" max="12294" width="10.85546875" style="59" bestFit="1" customWidth="1"/>
    <col min="12295" max="12295" width="11.28515625" style="59" bestFit="1" customWidth="1"/>
    <col min="12296" max="12296" width="9.140625" style="59" bestFit="1" customWidth="1"/>
    <col min="12297" max="12297" width="11" style="59" customWidth="1"/>
    <col min="12298" max="12298" width="10.28515625" style="59" customWidth="1"/>
    <col min="12299" max="12300" width="9.140625" style="59"/>
    <col min="12301" max="12301" width="10.140625" style="59" customWidth="1"/>
    <col min="12302" max="12304" width="10" style="59" bestFit="1" customWidth="1"/>
    <col min="12305" max="12544" width="9.140625" style="59"/>
    <col min="12545" max="12545" width="11" style="59" customWidth="1"/>
    <col min="12546" max="12546" width="8.42578125" style="59" customWidth="1"/>
    <col min="12547" max="12547" width="11.140625" style="59" customWidth="1"/>
    <col min="12548" max="12548" width="10.140625" style="59" customWidth="1"/>
    <col min="12549" max="12549" width="10.28515625" style="59" customWidth="1"/>
    <col min="12550" max="12550" width="10.85546875" style="59" bestFit="1" customWidth="1"/>
    <col min="12551" max="12551" width="11.28515625" style="59" bestFit="1" customWidth="1"/>
    <col min="12552" max="12552" width="9.140625" style="59" bestFit="1" customWidth="1"/>
    <col min="12553" max="12553" width="11" style="59" customWidth="1"/>
    <col min="12554" max="12554" width="10.28515625" style="59" customWidth="1"/>
    <col min="12555" max="12556" width="9.140625" style="59"/>
    <col min="12557" max="12557" width="10.140625" style="59" customWidth="1"/>
    <col min="12558" max="12560" width="10" style="59" bestFit="1" customWidth="1"/>
    <col min="12561" max="12800" width="9.140625" style="59"/>
    <col min="12801" max="12801" width="11" style="59" customWidth="1"/>
    <col min="12802" max="12802" width="8.42578125" style="59" customWidth="1"/>
    <col min="12803" max="12803" width="11.140625" style="59" customWidth="1"/>
    <col min="12804" max="12804" width="10.140625" style="59" customWidth="1"/>
    <col min="12805" max="12805" width="10.28515625" style="59" customWidth="1"/>
    <col min="12806" max="12806" width="10.85546875" style="59" bestFit="1" customWidth="1"/>
    <col min="12807" max="12807" width="11.28515625" style="59" bestFit="1" customWidth="1"/>
    <col min="12808" max="12808" width="9.140625" style="59" bestFit="1" customWidth="1"/>
    <col min="12809" max="12809" width="11" style="59" customWidth="1"/>
    <col min="12810" max="12810" width="10.28515625" style="59" customWidth="1"/>
    <col min="12811" max="12812" width="9.140625" style="59"/>
    <col min="12813" max="12813" width="10.140625" style="59" customWidth="1"/>
    <col min="12814" max="12816" width="10" style="59" bestFit="1" customWidth="1"/>
    <col min="12817" max="13056" width="9.140625" style="59"/>
    <col min="13057" max="13057" width="11" style="59" customWidth="1"/>
    <col min="13058" max="13058" width="8.42578125" style="59" customWidth="1"/>
    <col min="13059" max="13059" width="11.140625" style="59" customWidth="1"/>
    <col min="13060" max="13060" width="10.140625" style="59" customWidth="1"/>
    <col min="13061" max="13061" width="10.28515625" style="59" customWidth="1"/>
    <col min="13062" max="13062" width="10.85546875" style="59" bestFit="1" customWidth="1"/>
    <col min="13063" max="13063" width="11.28515625" style="59" bestFit="1" customWidth="1"/>
    <col min="13064" max="13064" width="9.140625" style="59" bestFit="1" customWidth="1"/>
    <col min="13065" max="13065" width="11" style="59" customWidth="1"/>
    <col min="13066" max="13066" width="10.28515625" style="59" customWidth="1"/>
    <col min="13067" max="13068" width="9.140625" style="59"/>
    <col min="13069" max="13069" width="10.140625" style="59" customWidth="1"/>
    <col min="13070" max="13072" width="10" style="59" bestFit="1" customWidth="1"/>
    <col min="13073" max="13312" width="9.140625" style="59"/>
    <col min="13313" max="13313" width="11" style="59" customWidth="1"/>
    <col min="13314" max="13314" width="8.42578125" style="59" customWidth="1"/>
    <col min="13315" max="13315" width="11.140625" style="59" customWidth="1"/>
    <col min="13316" max="13316" width="10.140625" style="59" customWidth="1"/>
    <col min="13317" max="13317" width="10.28515625" style="59" customWidth="1"/>
    <col min="13318" max="13318" width="10.85546875" style="59" bestFit="1" customWidth="1"/>
    <col min="13319" max="13319" width="11.28515625" style="59" bestFit="1" customWidth="1"/>
    <col min="13320" max="13320" width="9.140625" style="59" bestFit="1" customWidth="1"/>
    <col min="13321" max="13321" width="11" style="59" customWidth="1"/>
    <col min="13322" max="13322" width="10.28515625" style="59" customWidth="1"/>
    <col min="13323" max="13324" width="9.140625" style="59"/>
    <col min="13325" max="13325" width="10.140625" style="59" customWidth="1"/>
    <col min="13326" max="13328" width="10" style="59" bestFit="1" customWidth="1"/>
    <col min="13329" max="13568" width="9.140625" style="59"/>
    <col min="13569" max="13569" width="11" style="59" customWidth="1"/>
    <col min="13570" max="13570" width="8.42578125" style="59" customWidth="1"/>
    <col min="13571" max="13571" width="11.140625" style="59" customWidth="1"/>
    <col min="13572" max="13572" width="10.140625" style="59" customWidth="1"/>
    <col min="13573" max="13573" width="10.28515625" style="59" customWidth="1"/>
    <col min="13574" max="13574" width="10.85546875" style="59" bestFit="1" customWidth="1"/>
    <col min="13575" max="13575" width="11.28515625" style="59" bestFit="1" customWidth="1"/>
    <col min="13576" max="13576" width="9.140625" style="59" bestFit="1" customWidth="1"/>
    <col min="13577" max="13577" width="11" style="59" customWidth="1"/>
    <col min="13578" max="13578" width="10.28515625" style="59" customWidth="1"/>
    <col min="13579" max="13580" width="9.140625" style="59"/>
    <col min="13581" max="13581" width="10.140625" style="59" customWidth="1"/>
    <col min="13582" max="13584" width="10" style="59" bestFit="1" customWidth="1"/>
    <col min="13585" max="13824" width="9.140625" style="59"/>
    <col min="13825" max="13825" width="11" style="59" customWidth="1"/>
    <col min="13826" max="13826" width="8.42578125" style="59" customWidth="1"/>
    <col min="13827" max="13827" width="11.140625" style="59" customWidth="1"/>
    <col min="13828" max="13828" width="10.140625" style="59" customWidth="1"/>
    <col min="13829" max="13829" width="10.28515625" style="59" customWidth="1"/>
    <col min="13830" max="13830" width="10.85546875" style="59" bestFit="1" customWidth="1"/>
    <col min="13831" max="13831" width="11.28515625" style="59" bestFit="1" customWidth="1"/>
    <col min="13832" max="13832" width="9.140625" style="59" bestFit="1" customWidth="1"/>
    <col min="13833" max="13833" width="11" style="59" customWidth="1"/>
    <col min="13834" max="13834" width="10.28515625" style="59" customWidth="1"/>
    <col min="13835" max="13836" width="9.140625" style="59"/>
    <col min="13837" max="13837" width="10.140625" style="59" customWidth="1"/>
    <col min="13838" max="13840" width="10" style="59" bestFit="1" customWidth="1"/>
    <col min="13841" max="14080" width="9.140625" style="59"/>
    <col min="14081" max="14081" width="11" style="59" customWidth="1"/>
    <col min="14082" max="14082" width="8.42578125" style="59" customWidth="1"/>
    <col min="14083" max="14083" width="11.140625" style="59" customWidth="1"/>
    <col min="14084" max="14084" width="10.140625" style="59" customWidth="1"/>
    <col min="14085" max="14085" width="10.28515625" style="59" customWidth="1"/>
    <col min="14086" max="14086" width="10.85546875" style="59" bestFit="1" customWidth="1"/>
    <col min="14087" max="14087" width="11.28515625" style="59" bestFit="1" customWidth="1"/>
    <col min="14088" max="14088" width="9.140625" style="59" bestFit="1" customWidth="1"/>
    <col min="14089" max="14089" width="11" style="59" customWidth="1"/>
    <col min="14090" max="14090" width="10.28515625" style="59" customWidth="1"/>
    <col min="14091" max="14092" width="9.140625" style="59"/>
    <col min="14093" max="14093" width="10.140625" style="59" customWidth="1"/>
    <col min="14094" max="14096" width="10" style="59" bestFit="1" customWidth="1"/>
    <col min="14097" max="14336" width="9.140625" style="59"/>
    <col min="14337" max="14337" width="11" style="59" customWidth="1"/>
    <col min="14338" max="14338" width="8.42578125" style="59" customWidth="1"/>
    <col min="14339" max="14339" width="11.140625" style="59" customWidth="1"/>
    <col min="14340" max="14340" width="10.140625" style="59" customWidth="1"/>
    <col min="14341" max="14341" width="10.28515625" style="59" customWidth="1"/>
    <col min="14342" max="14342" width="10.85546875" style="59" bestFit="1" customWidth="1"/>
    <col min="14343" max="14343" width="11.28515625" style="59" bestFit="1" customWidth="1"/>
    <col min="14344" max="14344" width="9.140625" style="59" bestFit="1" customWidth="1"/>
    <col min="14345" max="14345" width="11" style="59" customWidth="1"/>
    <col min="14346" max="14346" width="10.28515625" style="59" customWidth="1"/>
    <col min="14347" max="14348" width="9.140625" style="59"/>
    <col min="14349" max="14349" width="10.140625" style="59" customWidth="1"/>
    <col min="14350" max="14352" width="10" style="59" bestFit="1" customWidth="1"/>
    <col min="14353" max="14592" width="9.140625" style="59"/>
    <col min="14593" max="14593" width="11" style="59" customWidth="1"/>
    <col min="14594" max="14594" width="8.42578125" style="59" customWidth="1"/>
    <col min="14595" max="14595" width="11.140625" style="59" customWidth="1"/>
    <col min="14596" max="14596" width="10.140625" style="59" customWidth="1"/>
    <col min="14597" max="14597" width="10.28515625" style="59" customWidth="1"/>
    <col min="14598" max="14598" width="10.85546875" style="59" bestFit="1" customWidth="1"/>
    <col min="14599" max="14599" width="11.28515625" style="59" bestFit="1" customWidth="1"/>
    <col min="14600" max="14600" width="9.140625" style="59" bestFit="1" customWidth="1"/>
    <col min="14601" max="14601" width="11" style="59" customWidth="1"/>
    <col min="14602" max="14602" width="10.28515625" style="59" customWidth="1"/>
    <col min="14603" max="14604" width="9.140625" style="59"/>
    <col min="14605" max="14605" width="10.140625" style="59" customWidth="1"/>
    <col min="14606" max="14608" width="10" style="59" bestFit="1" customWidth="1"/>
    <col min="14609" max="14848" width="9.140625" style="59"/>
    <col min="14849" max="14849" width="11" style="59" customWidth="1"/>
    <col min="14850" max="14850" width="8.42578125" style="59" customWidth="1"/>
    <col min="14851" max="14851" width="11.140625" style="59" customWidth="1"/>
    <col min="14852" max="14852" width="10.140625" style="59" customWidth="1"/>
    <col min="14853" max="14853" width="10.28515625" style="59" customWidth="1"/>
    <col min="14854" max="14854" width="10.85546875" style="59" bestFit="1" customWidth="1"/>
    <col min="14855" max="14855" width="11.28515625" style="59" bestFit="1" customWidth="1"/>
    <col min="14856" max="14856" width="9.140625" style="59" bestFit="1" customWidth="1"/>
    <col min="14857" max="14857" width="11" style="59" customWidth="1"/>
    <col min="14858" max="14858" width="10.28515625" style="59" customWidth="1"/>
    <col min="14859" max="14860" width="9.140625" style="59"/>
    <col min="14861" max="14861" width="10.140625" style="59" customWidth="1"/>
    <col min="14862" max="14864" width="10" style="59" bestFit="1" customWidth="1"/>
    <col min="14865" max="15104" width="9.140625" style="59"/>
    <col min="15105" max="15105" width="11" style="59" customWidth="1"/>
    <col min="15106" max="15106" width="8.42578125" style="59" customWidth="1"/>
    <col min="15107" max="15107" width="11.140625" style="59" customWidth="1"/>
    <col min="15108" max="15108" width="10.140625" style="59" customWidth="1"/>
    <col min="15109" max="15109" width="10.28515625" style="59" customWidth="1"/>
    <col min="15110" max="15110" width="10.85546875" style="59" bestFit="1" customWidth="1"/>
    <col min="15111" max="15111" width="11.28515625" style="59" bestFit="1" customWidth="1"/>
    <col min="15112" max="15112" width="9.140625" style="59" bestFit="1" customWidth="1"/>
    <col min="15113" max="15113" width="11" style="59" customWidth="1"/>
    <col min="15114" max="15114" width="10.28515625" style="59" customWidth="1"/>
    <col min="15115" max="15116" width="9.140625" style="59"/>
    <col min="15117" max="15117" width="10.140625" style="59" customWidth="1"/>
    <col min="15118" max="15120" width="10" style="59" bestFit="1" customWidth="1"/>
    <col min="15121" max="15360" width="9.140625" style="59"/>
    <col min="15361" max="15361" width="11" style="59" customWidth="1"/>
    <col min="15362" max="15362" width="8.42578125" style="59" customWidth="1"/>
    <col min="15363" max="15363" width="11.140625" style="59" customWidth="1"/>
    <col min="15364" max="15364" width="10.140625" style="59" customWidth="1"/>
    <col min="15365" max="15365" width="10.28515625" style="59" customWidth="1"/>
    <col min="15366" max="15366" width="10.85546875" style="59" bestFit="1" customWidth="1"/>
    <col min="15367" max="15367" width="11.28515625" style="59" bestFit="1" customWidth="1"/>
    <col min="15368" max="15368" width="9.140625" style="59" bestFit="1" customWidth="1"/>
    <col min="15369" max="15369" width="11" style="59" customWidth="1"/>
    <col min="15370" max="15370" width="10.28515625" style="59" customWidth="1"/>
    <col min="15371" max="15372" width="9.140625" style="59"/>
    <col min="15373" max="15373" width="10.140625" style="59" customWidth="1"/>
    <col min="15374" max="15376" width="10" style="59" bestFit="1" customWidth="1"/>
    <col min="15377" max="15616" width="9.140625" style="59"/>
    <col min="15617" max="15617" width="11" style="59" customWidth="1"/>
    <col min="15618" max="15618" width="8.42578125" style="59" customWidth="1"/>
    <col min="15619" max="15619" width="11.140625" style="59" customWidth="1"/>
    <col min="15620" max="15620" width="10.140625" style="59" customWidth="1"/>
    <col min="15621" max="15621" width="10.28515625" style="59" customWidth="1"/>
    <col min="15622" max="15622" width="10.85546875" style="59" bestFit="1" customWidth="1"/>
    <col min="15623" max="15623" width="11.28515625" style="59" bestFit="1" customWidth="1"/>
    <col min="15624" max="15624" width="9.140625" style="59" bestFit="1" customWidth="1"/>
    <col min="15625" max="15625" width="11" style="59" customWidth="1"/>
    <col min="15626" max="15626" width="10.28515625" style="59" customWidth="1"/>
    <col min="15627" max="15628" width="9.140625" style="59"/>
    <col min="15629" max="15629" width="10.140625" style="59" customWidth="1"/>
    <col min="15630" max="15632" width="10" style="59" bestFit="1" customWidth="1"/>
    <col min="15633" max="15872" width="9.140625" style="59"/>
    <col min="15873" max="15873" width="11" style="59" customWidth="1"/>
    <col min="15874" max="15874" width="8.42578125" style="59" customWidth="1"/>
    <col min="15875" max="15875" width="11.140625" style="59" customWidth="1"/>
    <col min="15876" max="15876" width="10.140625" style="59" customWidth="1"/>
    <col min="15877" max="15877" width="10.28515625" style="59" customWidth="1"/>
    <col min="15878" max="15878" width="10.85546875" style="59" bestFit="1" customWidth="1"/>
    <col min="15879" max="15879" width="11.28515625" style="59" bestFit="1" customWidth="1"/>
    <col min="15880" max="15880" width="9.140625" style="59" bestFit="1" customWidth="1"/>
    <col min="15881" max="15881" width="11" style="59" customWidth="1"/>
    <col min="15882" max="15882" width="10.28515625" style="59" customWidth="1"/>
    <col min="15883" max="15884" width="9.140625" style="59"/>
    <col min="15885" max="15885" width="10.140625" style="59" customWidth="1"/>
    <col min="15886" max="15888" width="10" style="59" bestFit="1" customWidth="1"/>
    <col min="15889" max="16128" width="9.140625" style="59"/>
    <col min="16129" max="16129" width="11" style="59" customWidth="1"/>
    <col min="16130" max="16130" width="8.42578125" style="59" customWidth="1"/>
    <col min="16131" max="16131" width="11.140625" style="59" customWidth="1"/>
    <col min="16132" max="16132" width="10.140625" style="59" customWidth="1"/>
    <col min="16133" max="16133" width="10.28515625" style="59" customWidth="1"/>
    <col min="16134" max="16134" width="10.85546875" style="59" bestFit="1" customWidth="1"/>
    <col min="16135" max="16135" width="11.28515625" style="59" bestFit="1" customWidth="1"/>
    <col min="16136" max="16136" width="9.140625" style="59" bestFit="1" customWidth="1"/>
    <col min="16137" max="16137" width="11" style="59" customWidth="1"/>
    <col min="16138" max="16138" width="10.28515625" style="59" customWidth="1"/>
    <col min="16139" max="16140" width="9.140625" style="59"/>
    <col min="16141" max="16141" width="10.140625" style="59" customWidth="1"/>
    <col min="16142" max="16144" width="10" style="59" bestFit="1" customWidth="1"/>
    <col min="16145" max="16384" width="9.140625" style="59"/>
  </cols>
  <sheetData>
    <row r="3" spans="1:25">
      <c r="A3" s="89" t="s">
        <v>158</v>
      </c>
      <c r="B3" s="90">
        <v>44500</v>
      </c>
    </row>
    <row r="4" spans="1:25">
      <c r="C4" s="59" t="s">
        <v>159</v>
      </c>
    </row>
    <row r="5" spans="1:25">
      <c r="C5" s="59" t="s">
        <v>160</v>
      </c>
      <c r="E5" s="59" t="s">
        <v>161</v>
      </c>
      <c r="H5" s="59" t="s">
        <v>162</v>
      </c>
      <c r="J5" s="59" t="s">
        <v>163</v>
      </c>
      <c r="M5" s="91" t="s">
        <v>164</v>
      </c>
    </row>
    <row r="6" spans="1:25" s="92" customFormat="1">
      <c r="C6" s="93"/>
      <c r="J6" s="92" t="s">
        <v>165</v>
      </c>
      <c r="P6" s="94"/>
      <c r="R6" s="59"/>
      <c r="S6" s="59"/>
      <c r="T6" s="59"/>
      <c r="U6" s="59"/>
      <c r="V6" s="59"/>
      <c r="W6" s="59"/>
      <c r="X6" s="59"/>
      <c r="Y6" s="59"/>
    </row>
    <row r="7" spans="1:25">
      <c r="A7" s="93"/>
      <c r="B7" s="93"/>
      <c r="D7" s="95"/>
      <c r="J7" s="96"/>
    </row>
    <row r="8" spans="1:25" s="92" customFormat="1">
      <c r="C8" s="93"/>
      <c r="D8" s="93"/>
      <c r="E8" s="93"/>
      <c r="F8" s="93"/>
      <c r="G8" s="93"/>
      <c r="H8" s="93"/>
      <c r="N8" s="93"/>
      <c r="O8" s="93"/>
      <c r="P8" s="97"/>
      <c r="R8" s="59"/>
      <c r="S8" s="59"/>
      <c r="T8" s="59"/>
      <c r="U8" s="59"/>
      <c r="V8" s="59"/>
      <c r="W8" s="59"/>
      <c r="X8" s="59"/>
      <c r="Y8" s="59"/>
    </row>
    <row r="9" spans="1:25">
      <c r="A9" s="98" t="s">
        <v>166</v>
      </c>
      <c r="B9" s="99" t="s">
        <v>138</v>
      </c>
      <c r="C9" s="100" t="s">
        <v>167</v>
      </c>
      <c r="D9" s="100" t="s">
        <v>168</v>
      </c>
      <c r="E9" s="100" t="s">
        <v>169</v>
      </c>
      <c r="F9" s="100" t="s">
        <v>170</v>
      </c>
      <c r="G9" s="98" t="s">
        <v>166</v>
      </c>
      <c r="H9" s="101" t="s">
        <v>138</v>
      </c>
      <c r="I9" s="102" t="s">
        <v>167</v>
      </c>
      <c r="J9" s="102" t="s">
        <v>168</v>
      </c>
      <c r="K9" s="102" t="s">
        <v>169</v>
      </c>
      <c r="L9" s="100" t="s">
        <v>170</v>
      </c>
    </row>
    <row r="10" spans="1:25">
      <c r="A10" s="98" t="s">
        <v>766</v>
      </c>
      <c r="B10" s="102">
        <v>12948853.359999999</v>
      </c>
      <c r="C10" s="103">
        <v>10245951</v>
      </c>
      <c r="D10" s="103">
        <v>10245951</v>
      </c>
      <c r="E10" s="104">
        <v>9888577.9499999993</v>
      </c>
      <c r="F10" s="104">
        <f>B10-C10</f>
        <v>2702902.3599999994</v>
      </c>
      <c r="G10" s="98" t="s">
        <v>761</v>
      </c>
      <c r="H10" s="102">
        <v>2186514.2599999998</v>
      </c>
      <c r="I10" s="45">
        <v>1583146.13</v>
      </c>
      <c r="J10" s="45">
        <v>1583146.13</v>
      </c>
      <c r="K10" s="105">
        <v>1467651.56</v>
      </c>
      <c r="L10" s="104">
        <f>H10-I10</f>
        <v>603368.12999999989</v>
      </c>
    </row>
    <row r="11" spans="1:25">
      <c r="A11" s="98" t="s">
        <v>767</v>
      </c>
      <c r="B11" s="102">
        <v>3344610.61</v>
      </c>
      <c r="C11" s="103">
        <v>2819770.95</v>
      </c>
      <c r="D11" s="103">
        <v>2819770.95</v>
      </c>
      <c r="E11" s="103">
        <v>2714483.48</v>
      </c>
      <c r="F11" s="104">
        <f>B11-C11</f>
        <v>524839.65999999968</v>
      </c>
      <c r="G11" s="98" t="s">
        <v>762</v>
      </c>
      <c r="H11" s="102">
        <v>832355.03</v>
      </c>
      <c r="I11" s="45">
        <v>672999.06</v>
      </c>
      <c r="J11" s="45">
        <v>672999.06</v>
      </c>
      <c r="K11" s="105">
        <v>646573.73</v>
      </c>
      <c r="L11" s="104">
        <f>H11-I11</f>
        <v>159355.96999999997</v>
      </c>
    </row>
    <row r="12" spans="1:25">
      <c r="A12" s="100" t="s">
        <v>768</v>
      </c>
      <c r="B12" s="106">
        <v>2488155.08</v>
      </c>
      <c r="C12" s="103">
        <v>1806057.94</v>
      </c>
      <c r="D12" s="103">
        <v>1806057.94</v>
      </c>
      <c r="E12" s="104">
        <v>1746791.39</v>
      </c>
      <c r="F12" s="104">
        <f>B12-C12</f>
        <v>682097.14000000013</v>
      </c>
      <c r="G12" s="100" t="s">
        <v>763</v>
      </c>
      <c r="H12" s="102">
        <v>1505340.86</v>
      </c>
      <c r="I12" s="45">
        <v>1289657.06</v>
      </c>
      <c r="J12" s="45">
        <v>1289657.06</v>
      </c>
      <c r="K12" s="105">
        <v>1242542.3400000001</v>
      </c>
      <c r="L12" s="104">
        <f>H12-I12</f>
        <v>215683.80000000005</v>
      </c>
    </row>
    <row r="13" spans="1:25">
      <c r="A13" s="100" t="s">
        <v>769</v>
      </c>
      <c r="B13" s="106">
        <v>1478530.37</v>
      </c>
      <c r="C13" s="103">
        <v>1191807.6200000001</v>
      </c>
      <c r="D13" s="103">
        <v>1191807.6200000001</v>
      </c>
      <c r="E13" s="104">
        <v>1153046.1200000001</v>
      </c>
      <c r="F13" s="104">
        <f>B13-C13</f>
        <v>286722.75</v>
      </c>
      <c r="G13" s="100"/>
      <c r="H13" s="102"/>
      <c r="I13" s="45"/>
      <c r="J13" s="45"/>
      <c r="K13" s="105"/>
      <c r="L13" s="104">
        <f>H13-I13</f>
        <v>0</v>
      </c>
    </row>
    <row r="14" spans="1:25">
      <c r="A14" s="100" t="s">
        <v>770</v>
      </c>
      <c r="B14" s="106">
        <v>435256.61</v>
      </c>
      <c r="C14" s="103">
        <v>365336.16</v>
      </c>
      <c r="D14" s="103">
        <v>365336.16</v>
      </c>
      <c r="E14" s="104">
        <v>352482.35</v>
      </c>
      <c r="F14" s="104">
        <f>B14-C14</f>
        <v>69920.450000000012</v>
      </c>
      <c r="G14" s="100" t="s">
        <v>764</v>
      </c>
      <c r="H14" s="102">
        <v>151480.97</v>
      </c>
      <c r="I14" s="45">
        <v>113833.94</v>
      </c>
      <c r="J14" s="45">
        <v>113833.94</v>
      </c>
      <c r="K14" s="105">
        <v>110835.63</v>
      </c>
      <c r="L14" s="104">
        <f>H14-I14</f>
        <v>37647.03</v>
      </c>
    </row>
    <row r="15" spans="1:25" s="112" customFormat="1">
      <c r="A15" s="107" t="s">
        <v>171</v>
      </c>
      <c r="B15" s="108">
        <f>SUM(B10:B14)</f>
        <v>20695406.029999997</v>
      </c>
      <c r="C15" s="109">
        <f>SUM(C10:C14)</f>
        <v>16428923.669999998</v>
      </c>
      <c r="D15" s="109">
        <f>SUM(D10:D14)</f>
        <v>16428923.669999998</v>
      </c>
      <c r="E15" s="110">
        <f>SUM(E10:E14)</f>
        <v>15855381.290000001</v>
      </c>
      <c r="F15" s="108">
        <f>SUM(F10:F14)</f>
        <v>4266482.3599999994</v>
      </c>
      <c r="G15" s="107" t="s">
        <v>172</v>
      </c>
      <c r="H15" s="108">
        <f>SUM(H10:H14)</f>
        <v>4675691.12</v>
      </c>
      <c r="I15" s="109">
        <f>SUM(I10:I14)</f>
        <v>3659636.19</v>
      </c>
      <c r="J15" s="109">
        <f>SUM(J10:J14)</f>
        <v>3659636.19</v>
      </c>
      <c r="K15" s="111">
        <f>SUM(K10:K14)</f>
        <v>3467603.26</v>
      </c>
      <c r="L15" s="108">
        <f>SUM(L10:L14)</f>
        <v>1016054.9299999999</v>
      </c>
    </row>
    <row r="16" spans="1:25" s="112" customFormat="1">
      <c r="A16" s="113"/>
      <c r="B16" s="114"/>
      <c r="C16" s="115"/>
      <c r="D16" s="115"/>
      <c r="E16" s="116"/>
      <c r="F16" s="114"/>
      <c r="G16" s="113"/>
      <c r="H16" s="114"/>
      <c r="I16" s="115"/>
      <c r="J16" s="115"/>
      <c r="K16" s="116"/>
      <c r="L16" s="114"/>
      <c r="M16" s="89"/>
      <c r="N16" s="117"/>
      <c r="O16" s="117"/>
      <c r="P16" s="117"/>
    </row>
    <row r="17" spans="1:16" s="112" customFormat="1">
      <c r="A17" s="113"/>
      <c r="C17" s="114" t="s">
        <v>173</v>
      </c>
      <c r="D17" s="115">
        <f>D15</f>
        <v>16428923.669999998</v>
      </c>
      <c r="E17" s="118">
        <f>D17/E37</f>
        <v>0.81782486074141081</v>
      </c>
      <c r="F17" s="114"/>
      <c r="G17" s="113"/>
      <c r="H17" s="114"/>
      <c r="I17" s="115" t="s">
        <v>174</v>
      </c>
      <c r="J17" s="115">
        <f>J15</f>
        <v>3659636.19</v>
      </c>
      <c r="K17" s="118">
        <f>J17/E37</f>
        <v>0.18217513925858891</v>
      </c>
      <c r="L17" s="114"/>
      <c r="M17" s="89"/>
      <c r="N17" s="117"/>
      <c r="O17" s="117"/>
      <c r="P17" s="117"/>
    </row>
    <row r="18" spans="1:16" s="112" customFormat="1">
      <c r="A18" s="113"/>
      <c r="B18" s="114"/>
      <c r="C18" s="115"/>
      <c r="D18" s="115"/>
      <c r="E18" s="116"/>
      <c r="F18" s="114"/>
      <c r="G18" s="113"/>
      <c r="H18" s="114"/>
      <c r="I18" s="115"/>
      <c r="J18" s="115"/>
      <c r="K18" s="116"/>
      <c r="L18" s="114"/>
      <c r="M18" s="89"/>
      <c r="N18" s="117"/>
      <c r="O18" s="117"/>
      <c r="P18" s="117"/>
    </row>
    <row r="19" spans="1:16">
      <c r="A19" s="93" t="s">
        <v>766</v>
      </c>
      <c r="B19" s="102">
        <v>2079867.2</v>
      </c>
      <c r="C19" s="103">
        <v>257808.77</v>
      </c>
      <c r="D19" s="103">
        <v>257808.77</v>
      </c>
      <c r="E19" s="103">
        <v>257808.77</v>
      </c>
      <c r="F19" s="104">
        <f t="shared" ref="F19:F24" si="0">B19-C19</f>
        <v>1822058.43</v>
      </c>
      <c r="G19" s="98" t="s">
        <v>761</v>
      </c>
      <c r="H19" s="102">
        <v>3351965.03</v>
      </c>
      <c r="I19" s="45">
        <v>2183162.5299999998</v>
      </c>
      <c r="J19" s="45">
        <v>2183162.5299999998</v>
      </c>
      <c r="K19" s="105">
        <v>2147222.08</v>
      </c>
      <c r="L19" s="104">
        <f t="shared" ref="L19:L24" si="1">H19-I19</f>
        <v>1168802.5</v>
      </c>
    </row>
    <row r="20" spans="1:16">
      <c r="A20" s="93" t="s">
        <v>767</v>
      </c>
      <c r="B20" s="102">
        <v>3344610.61</v>
      </c>
      <c r="C20" s="103">
        <v>2819770.95</v>
      </c>
      <c r="D20" s="103">
        <v>2819770.95</v>
      </c>
      <c r="E20" s="103">
        <v>2714483.48</v>
      </c>
      <c r="F20" s="104">
        <f t="shared" si="0"/>
        <v>524839.65999999968</v>
      </c>
      <c r="G20" s="98" t="s">
        <v>762</v>
      </c>
      <c r="H20" s="102">
        <v>606894.6</v>
      </c>
      <c r="I20" s="45">
        <v>67131.02</v>
      </c>
      <c r="J20" s="45">
        <v>67131.02</v>
      </c>
      <c r="K20" s="105">
        <v>67131.02</v>
      </c>
      <c r="L20" s="104">
        <f t="shared" si="1"/>
        <v>539763.57999999996</v>
      </c>
    </row>
    <row r="21" spans="1:16">
      <c r="A21" s="92" t="s">
        <v>768</v>
      </c>
      <c r="B21" s="106">
        <v>885868.11</v>
      </c>
      <c r="C21" s="103">
        <v>329000.15000000002</v>
      </c>
      <c r="D21" s="103">
        <v>329000.15000000002</v>
      </c>
      <c r="E21" s="103">
        <v>319351.34000000003</v>
      </c>
      <c r="F21" s="104">
        <f t="shared" si="0"/>
        <v>556867.96</v>
      </c>
      <c r="G21" s="100" t="s">
        <v>763</v>
      </c>
      <c r="H21" s="102">
        <v>2029870.83</v>
      </c>
      <c r="I21" s="45">
        <v>163702.37</v>
      </c>
      <c r="J21" s="45">
        <v>163702.37</v>
      </c>
      <c r="K21" s="105">
        <v>163702.37</v>
      </c>
      <c r="L21" s="104">
        <f t="shared" si="1"/>
        <v>1866168.46</v>
      </c>
    </row>
    <row r="22" spans="1:16">
      <c r="A22" s="92" t="s">
        <v>770</v>
      </c>
      <c r="B22" s="106">
        <v>90533.96</v>
      </c>
      <c r="C22" s="103">
        <v>0</v>
      </c>
      <c r="D22" s="103">
        <v>0</v>
      </c>
      <c r="E22" s="103">
        <v>0</v>
      </c>
      <c r="F22" s="104">
        <f t="shared" si="0"/>
        <v>90533.96</v>
      </c>
      <c r="G22" s="98" t="s">
        <v>765</v>
      </c>
      <c r="H22" s="102">
        <v>44311.27</v>
      </c>
      <c r="I22" s="45"/>
      <c r="J22" s="45"/>
      <c r="K22" s="105"/>
      <c r="L22" s="104">
        <f t="shared" si="1"/>
        <v>44311.27</v>
      </c>
    </row>
    <row r="23" spans="1:16">
      <c r="A23" s="92" t="s">
        <v>519</v>
      </c>
      <c r="B23" s="476">
        <v>388073.04</v>
      </c>
      <c r="C23" s="262">
        <v>3103.89</v>
      </c>
      <c r="D23" s="262">
        <v>3103.89</v>
      </c>
      <c r="E23" s="262">
        <v>3103.89</v>
      </c>
      <c r="F23" s="104">
        <f t="shared" si="0"/>
        <v>384969.14999999997</v>
      </c>
      <c r="G23" s="100" t="s">
        <v>175</v>
      </c>
      <c r="H23" s="102">
        <v>777061.66</v>
      </c>
      <c r="I23" s="45">
        <v>226801.94</v>
      </c>
      <c r="J23" s="45">
        <v>226801.94</v>
      </c>
      <c r="K23" s="105">
        <v>221455.21</v>
      </c>
      <c r="L23" s="104">
        <f t="shared" si="1"/>
        <v>550259.72</v>
      </c>
    </row>
    <row r="24" spans="1:16">
      <c r="A24" s="100" t="s">
        <v>520</v>
      </c>
      <c r="B24" s="103">
        <v>3080</v>
      </c>
      <c r="C24" s="237"/>
      <c r="D24" s="237"/>
      <c r="E24" s="237"/>
      <c r="F24" s="104">
        <f t="shared" si="0"/>
        <v>3080</v>
      </c>
      <c r="G24" s="100" t="s">
        <v>177</v>
      </c>
      <c r="H24" s="103">
        <v>309419.84000000003</v>
      </c>
      <c r="I24" s="103"/>
      <c r="J24" s="103"/>
      <c r="K24" s="103"/>
      <c r="L24" s="104">
        <f t="shared" si="1"/>
        <v>309419.84000000003</v>
      </c>
    </row>
    <row r="25" spans="1:16">
      <c r="A25" s="122">
        <v>2245</v>
      </c>
    </row>
    <row r="26" spans="1:16">
      <c r="A26" s="119" t="s">
        <v>176</v>
      </c>
      <c r="B26" s="108">
        <f>SUM(B19:B24)</f>
        <v>6792032.9199999999</v>
      </c>
      <c r="C26" s="108">
        <f>SUM(C19:C24)</f>
        <v>3409683.7600000002</v>
      </c>
      <c r="D26" s="108">
        <f>SUM(D19:D24)</f>
        <v>3409683.7600000002</v>
      </c>
      <c r="E26" s="108">
        <f>SUM(E19:E24)</f>
        <v>3294747.48</v>
      </c>
      <c r="F26" s="108">
        <f>SUM(F19:F24)</f>
        <v>3382349.1599999997</v>
      </c>
      <c r="G26" s="119" t="s">
        <v>178</v>
      </c>
      <c r="H26" s="108">
        <f>SUM(H19:H24)</f>
        <v>7119523.2299999995</v>
      </c>
      <c r="I26" s="109">
        <f>SUM(I19:I24)</f>
        <v>2640797.86</v>
      </c>
      <c r="J26" s="109">
        <f>SUM(J19:J24)</f>
        <v>2640797.86</v>
      </c>
      <c r="K26" s="108">
        <f>SUM(K19:K24)</f>
        <v>2599510.6800000002</v>
      </c>
      <c r="L26" s="108">
        <f>SUM(L19:L24)</f>
        <v>4478725.37</v>
      </c>
    </row>
    <row r="27" spans="1:16">
      <c r="C27" s="120"/>
      <c r="D27" s="120"/>
      <c r="E27" s="120"/>
      <c r="F27" s="120"/>
      <c r="G27" s="121"/>
      <c r="H27" s="121"/>
      <c r="I27" s="120"/>
      <c r="J27" s="120"/>
      <c r="K27" s="120"/>
      <c r="L27" s="120"/>
    </row>
    <row r="28" spans="1:16">
      <c r="B28" s="60"/>
      <c r="C28" s="91" t="s">
        <v>518</v>
      </c>
      <c r="D28" s="120">
        <f>D26</f>
        <v>3409683.7600000002</v>
      </c>
      <c r="G28" s="122"/>
    </row>
    <row r="31" spans="1:16">
      <c r="A31" s="59" t="s">
        <v>179</v>
      </c>
      <c r="B31" s="92" t="s">
        <v>180</v>
      </c>
      <c r="C31" s="59" t="s">
        <v>181</v>
      </c>
      <c r="D31" s="59" t="s">
        <v>182</v>
      </c>
      <c r="E31" s="59" t="s">
        <v>183</v>
      </c>
      <c r="F31" s="59" t="s">
        <v>184</v>
      </c>
      <c r="H31" s="100" t="s">
        <v>179</v>
      </c>
      <c r="I31" s="100" t="s">
        <v>167</v>
      </c>
      <c r="J31" s="100" t="s">
        <v>168</v>
      </c>
      <c r="K31" s="100" t="s">
        <v>169</v>
      </c>
    </row>
    <row r="32" spans="1:16">
      <c r="A32" s="59" t="s">
        <v>185</v>
      </c>
      <c r="B32" s="59">
        <v>2221</v>
      </c>
      <c r="C32" s="123">
        <f>B32/B37</f>
        <v>0.58217562254259503</v>
      </c>
      <c r="D32" s="61">
        <f>C32*J34</f>
        <v>15217512.746285714</v>
      </c>
      <c r="E32" s="60">
        <f>D10+J10</f>
        <v>11829097.129999999</v>
      </c>
      <c r="F32" s="124">
        <f>D32-E32</f>
        <v>3388415.6162857153</v>
      </c>
      <c r="H32" s="100" t="s">
        <v>186</v>
      </c>
      <c r="I32" s="103">
        <f>C15+I15</f>
        <v>20088559.859999999</v>
      </c>
      <c r="J32" s="103">
        <f>D15+J15</f>
        <v>20088559.859999999</v>
      </c>
      <c r="K32" s="103">
        <f>E15+K15</f>
        <v>19322984.550000001</v>
      </c>
      <c r="N32" s="60"/>
    </row>
    <row r="33" spans="1:14">
      <c r="A33" s="59" t="s">
        <v>187</v>
      </c>
      <c r="B33" s="59">
        <v>648</v>
      </c>
      <c r="C33" s="123">
        <f>B33/B37</f>
        <v>0.16985583224115333</v>
      </c>
      <c r="D33" s="61">
        <f>C33*J34</f>
        <v>4439868.6445714282</v>
      </c>
      <c r="E33" s="60">
        <f>D11+J11</f>
        <v>3492770.0100000002</v>
      </c>
      <c r="F33" s="124">
        <f>D33-E33</f>
        <v>947098.63457142795</v>
      </c>
      <c r="H33" s="100" t="s">
        <v>188</v>
      </c>
      <c r="I33" s="103">
        <f>C26+I26</f>
        <v>6050481.6200000001</v>
      </c>
      <c r="J33" s="103">
        <f>D26+J26</f>
        <v>6050481.6200000001</v>
      </c>
      <c r="K33" s="103">
        <f>E26+K26</f>
        <v>5894258.1600000001</v>
      </c>
      <c r="N33" s="61"/>
    </row>
    <row r="34" spans="1:14">
      <c r="A34" s="59" t="s">
        <v>189</v>
      </c>
      <c r="B34" s="59">
        <v>480</v>
      </c>
      <c r="C34" s="123">
        <f>B34/B37</f>
        <v>0.12581913499344691</v>
      </c>
      <c r="D34" s="61">
        <f>C34*J34</f>
        <v>3288791.5885714283</v>
      </c>
      <c r="E34" s="60">
        <f>D12+J12</f>
        <v>3095715</v>
      </c>
      <c r="F34" s="124">
        <f>D34-E34</f>
        <v>193076.58857142832</v>
      </c>
      <c r="H34" s="125" t="s">
        <v>190</v>
      </c>
      <c r="I34" s="126">
        <f>I32+I33</f>
        <v>26139041.48</v>
      </c>
      <c r="J34" s="126">
        <f>J32+J33</f>
        <v>26139041.48</v>
      </c>
      <c r="K34" s="103">
        <f>K32+K33</f>
        <v>25217242.710000001</v>
      </c>
    </row>
    <row r="35" spans="1:14">
      <c r="A35" s="59" t="s">
        <v>191</v>
      </c>
      <c r="B35" s="59">
        <v>143</v>
      </c>
      <c r="C35" s="123">
        <f>B35/B37</f>
        <v>3.7483617300131063E-2</v>
      </c>
      <c r="D35" s="61">
        <f>C35*J34</f>
        <v>979785.82742857153</v>
      </c>
      <c r="E35" s="60">
        <f>D13+J13</f>
        <v>1191807.6200000001</v>
      </c>
      <c r="F35" s="124">
        <f>D35-E35</f>
        <v>-212021.79257142858</v>
      </c>
      <c r="J35" s="124"/>
    </row>
    <row r="36" spans="1:14">
      <c r="A36" s="59" t="s">
        <v>192</v>
      </c>
      <c r="B36" s="59">
        <v>323</v>
      </c>
      <c r="C36" s="123">
        <f>B36/B37</f>
        <v>8.4665792922673663E-2</v>
      </c>
      <c r="D36" s="61">
        <f>C36*J34</f>
        <v>2213082.6731428574</v>
      </c>
      <c r="E36" s="60">
        <f>D14+J14</f>
        <v>479170.1</v>
      </c>
      <c r="F36" s="124">
        <f>D36-E36</f>
        <v>1733912.5731428573</v>
      </c>
    </row>
    <row r="37" spans="1:14">
      <c r="A37" s="127" t="s">
        <v>193</v>
      </c>
      <c r="B37" s="128">
        <f>SUM(B32:B36)</f>
        <v>3815</v>
      </c>
      <c r="C37" s="129">
        <f>SUM(C32:C36)</f>
        <v>0.99999999999999989</v>
      </c>
      <c r="D37" s="130">
        <f>SUM(D32:D36)</f>
        <v>26139041.48</v>
      </c>
      <c r="E37" s="131">
        <f>SUM(E32:E36)</f>
        <v>20088559.860000003</v>
      </c>
      <c r="F37" s="131">
        <f>SUM(F32:F36)</f>
        <v>6050481.6200000001</v>
      </c>
      <c r="K37" s="60"/>
    </row>
    <row r="38" spans="1:14">
      <c r="D38" s="132">
        <f>SUM(E38:F38)</f>
        <v>1.0000000000000002</v>
      </c>
      <c r="E38" s="133">
        <f>E37/D37</f>
        <v>0.76852702787018967</v>
      </c>
      <c r="F38" s="133">
        <f>F37/D37</f>
        <v>0.23147297212981047</v>
      </c>
      <c r="G38" s="124"/>
      <c r="H38" s="124"/>
    </row>
    <row r="39" spans="1:14">
      <c r="G39" s="59" t="s">
        <v>194</v>
      </c>
      <c r="H39" s="59" t="s">
        <v>195</v>
      </c>
      <c r="K39" s="60"/>
    </row>
    <row r="40" spans="1:14">
      <c r="A40" s="59" t="s">
        <v>196</v>
      </c>
      <c r="B40" s="61">
        <f>Míni!D20</f>
        <v>21817425.620000001</v>
      </c>
      <c r="C40" s="133">
        <f>D17/B40</f>
        <v>0.75301843380364863</v>
      </c>
      <c r="D40" s="59" t="s">
        <v>513</v>
      </c>
      <c r="G40" s="60">
        <f>D17</f>
        <v>16428923.669999998</v>
      </c>
      <c r="H40" s="134">
        <f>E17</f>
        <v>0.81782486074141081</v>
      </c>
    </row>
    <row r="41" spans="1:14">
      <c r="B41" s="60"/>
      <c r="C41" s="133">
        <f>J17/B40</f>
        <v>0.16773913905979893</v>
      </c>
      <c r="D41" s="59" t="s">
        <v>723</v>
      </c>
      <c r="G41" s="60">
        <f>J17</f>
        <v>3659636.19</v>
      </c>
      <c r="H41" s="134">
        <f>K17</f>
        <v>0.18217513925858891</v>
      </c>
      <c r="K41" s="63"/>
      <c r="L41" s="63"/>
    </row>
    <row r="42" spans="1:14">
      <c r="B42" s="135"/>
      <c r="C42" s="138">
        <f>SUM(C40:C41)</f>
        <v>0.92075757286344762</v>
      </c>
      <c r="D42" s="136"/>
      <c r="E42" s="136"/>
      <c r="F42" s="137" t="s">
        <v>197</v>
      </c>
      <c r="G42" s="136">
        <f>SUM(G40:G41)</f>
        <v>20088559.859999999</v>
      </c>
      <c r="H42" s="138">
        <f>SUM(H40:H41)</f>
        <v>0.99999999999999978</v>
      </c>
      <c r="K42" s="63"/>
      <c r="L42" s="63"/>
    </row>
    <row r="43" spans="1:14">
      <c r="B43" s="89"/>
      <c r="C43" s="117"/>
      <c r="D43" s="117"/>
      <c r="E43" s="117"/>
      <c r="K43" s="63"/>
      <c r="L43" s="63"/>
    </row>
    <row r="44" spans="1:14">
      <c r="B44" s="89"/>
      <c r="C44" s="117"/>
      <c r="D44" s="117"/>
      <c r="E44" s="117"/>
      <c r="K44" s="63"/>
      <c r="L44" s="63"/>
    </row>
    <row r="45" spans="1:14">
      <c r="B45" s="89"/>
      <c r="C45" s="117"/>
      <c r="D45" s="117"/>
      <c r="E45" s="117"/>
      <c r="K45" s="63"/>
      <c r="L45" s="63"/>
    </row>
    <row r="46" spans="1:14">
      <c r="B46" s="89"/>
      <c r="C46" s="117"/>
      <c r="D46" s="117"/>
      <c r="E46" s="117"/>
      <c r="K46" s="63"/>
      <c r="L46" s="63"/>
    </row>
    <row r="47" spans="1:14">
      <c r="B47" s="89"/>
      <c r="C47" s="117"/>
      <c r="D47" s="117"/>
      <c r="E47" s="117"/>
      <c r="K47" s="63"/>
      <c r="L47" s="63"/>
    </row>
    <row r="48" spans="1:14">
      <c r="B48" s="89"/>
      <c r="C48" s="117"/>
      <c r="D48" s="117"/>
      <c r="E48" s="117"/>
      <c r="K48" s="63"/>
      <c r="L48" s="63"/>
    </row>
    <row r="49" spans="1:10">
      <c r="A49" s="59" t="s">
        <v>103</v>
      </c>
      <c r="E49" s="59" t="s">
        <v>104</v>
      </c>
      <c r="J49" s="59" t="s">
        <v>105</v>
      </c>
    </row>
    <row r="50" spans="1:10">
      <c r="A50" s="59" t="s">
        <v>106</v>
      </c>
      <c r="E50" s="59" t="s">
        <v>107</v>
      </c>
      <c r="J50" s="59" t="s">
        <v>108</v>
      </c>
    </row>
  </sheetData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T127"/>
  <sheetViews>
    <sheetView topLeftCell="A83" workbookViewId="0">
      <selection activeCell="A124" sqref="A124:M125"/>
    </sheetView>
  </sheetViews>
  <sheetFormatPr defaultRowHeight="15"/>
  <cols>
    <col min="1" max="1" width="28.5703125" customWidth="1"/>
    <col min="2" max="2" width="8.140625" customWidth="1"/>
    <col min="3" max="3" width="2" customWidth="1"/>
    <col min="4" max="5" width="10.140625" customWidth="1"/>
    <col min="6" max="6" width="5" customWidth="1"/>
    <col min="7" max="7" width="2" customWidth="1"/>
    <col min="8" max="8" width="1" customWidth="1"/>
    <col min="9" max="9" width="1.85546875" customWidth="1"/>
    <col min="10" max="10" width="5.140625" customWidth="1"/>
    <col min="11" max="11" width="5" customWidth="1"/>
    <col min="12" max="12" width="1" customWidth="1"/>
    <col min="13" max="13" width="8.140625" customWidth="1"/>
    <col min="14" max="14" width="1" customWidth="1"/>
    <col min="15" max="15" width="10.140625" customWidth="1"/>
    <col min="16" max="16" width="10" customWidth="1"/>
    <col min="17" max="17" width="10.140625" customWidth="1"/>
    <col min="18" max="18" width="1" customWidth="1"/>
    <col min="19" max="19" width="11.140625" customWidth="1"/>
    <col min="20" max="20" width="0.5703125" customWidth="1"/>
  </cols>
  <sheetData>
    <row r="1" spans="1:19" ht="11.85" customHeight="1">
      <c r="A1" s="861" t="s">
        <v>1405</v>
      </c>
      <c r="B1" s="861"/>
      <c r="S1" s="645" t="s">
        <v>3204</v>
      </c>
    </row>
    <row r="2" spans="1:19" ht="11.1" customHeight="1">
      <c r="A2" s="861" t="s">
        <v>882</v>
      </c>
      <c r="B2" s="861"/>
    </row>
    <row r="3" spans="1:19" ht="11.85" customHeight="1">
      <c r="A3" s="863" t="s">
        <v>3205</v>
      </c>
      <c r="B3" s="863"/>
    </row>
    <row r="4" spans="1:19" ht="11.85" customHeight="1">
      <c r="A4" s="861" t="s">
        <v>1310</v>
      </c>
      <c r="B4" s="861"/>
    </row>
    <row r="5" spans="1:19" ht="11.85" customHeight="1">
      <c r="A5" s="861" t="s">
        <v>885</v>
      </c>
      <c r="B5" s="861"/>
    </row>
    <row r="6" spans="1:19" ht="5.85" customHeight="1"/>
    <row r="7" spans="1:19" ht="11.1" customHeight="1">
      <c r="A7" s="958" t="s">
        <v>3206</v>
      </c>
      <c r="B7" s="958"/>
      <c r="C7" s="958"/>
      <c r="D7" s="958"/>
      <c r="E7" s="958"/>
      <c r="F7" s="958"/>
      <c r="G7" s="958"/>
      <c r="H7" s="502"/>
      <c r="I7" s="502"/>
      <c r="J7" s="502"/>
      <c r="K7" s="502"/>
      <c r="L7" s="502"/>
      <c r="M7" s="502"/>
      <c r="N7" s="502"/>
      <c r="O7" s="502"/>
      <c r="Q7" s="1233" t="s">
        <v>1312</v>
      </c>
      <c r="R7" s="1233"/>
      <c r="S7" s="1233"/>
    </row>
    <row r="8" spans="1:19" ht="11.85" customHeight="1">
      <c r="A8" s="1234" t="s">
        <v>890</v>
      </c>
      <c r="B8" s="959" t="s">
        <v>2525</v>
      </c>
      <c r="C8" s="1235"/>
      <c r="D8" s="959" t="s">
        <v>1950</v>
      </c>
      <c r="E8" s="875" t="s">
        <v>2480</v>
      </c>
      <c r="F8" s="876"/>
      <c r="G8" s="876"/>
      <c r="H8" s="876"/>
      <c r="I8" s="876"/>
      <c r="J8" s="876"/>
      <c r="K8" s="876"/>
      <c r="L8" s="876"/>
      <c r="M8" s="876"/>
      <c r="N8" s="877"/>
      <c r="O8" s="959" t="s">
        <v>3207</v>
      </c>
      <c r="P8" s="513"/>
    </row>
    <row r="9" spans="1:19" ht="17.850000000000001" customHeight="1">
      <c r="A9" s="1236"/>
      <c r="B9" s="1237"/>
      <c r="C9" s="1238"/>
      <c r="D9" s="1239"/>
      <c r="E9" s="648" t="s">
        <v>3208</v>
      </c>
      <c r="F9" s="959" t="s">
        <v>3209</v>
      </c>
      <c r="G9" s="960"/>
      <c r="H9" s="961"/>
      <c r="I9" s="959" t="s">
        <v>3210</v>
      </c>
      <c r="J9" s="960"/>
      <c r="K9" s="960"/>
      <c r="L9" s="961"/>
      <c r="M9" s="959" t="s">
        <v>3211</v>
      </c>
      <c r="N9" s="961"/>
      <c r="O9" s="1239"/>
      <c r="P9" s="513"/>
    </row>
    <row r="10" spans="1:19" ht="11.1" customHeight="1">
      <c r="A10" s="647" t="s">
        <v>3212</v>
      </c>
      <c r="B10" s="972" t="s">
        <v>3213</v>
      </c>
      <c r="C10" s="974"/>
      <c r="D10" s="642" t="s">
        <v>3214</v>
      </c>
      <c r="E10" s="642" t="s">
        <v>3215</v>
      </c>
      <c r="F10" s="866" t="s">
        <v>3216</v>
      </c>
      <c r="G10" s="867"/>
      <c r="H10" s="868"/>
      <c r="I10" s="866" t="s">
        <v>3217</v>
      </c>
      <c r="J10" s="867"/>
      <c r="K10" s="867"/>
      <c r="L10" s="868"/>
      <c r="M10" s="866" t="s">
        <v>3218</v>
      </c>
      <c r="N10" s="868"/>
      <c r="O10" s="642" t="s">
        <v>3219</v>
      </c>
      <c r="P10" s="513"/>
    </row>
    <row r="11" spans="1:19" ht="11.85" customHeight="1">
      <c r="A11" s="646" t="s">
        <v>3</v>
      </c>
      <c r="B11" s="851" t="s">
        <v>3220</v>
      </c>
      <c r="C11" s="852"/>
      <c r="D11" s="641" t="s">
        <v>1990</v>
      </c>
      <c r="E11" s="641" t="s">
        <v>3221</v>
      </c>
      <c r="F11" s="871" t="s">
        <v>3222</v>
      </c>
      <c r="G11" s="872"/>
      <c r="H11" s="873"/>
      <c r="I11" s="871" t="s">
        <v>1991</v>
      </c>
      <c r="J11" s="872"/>
      <c r="K11" s="872"/>
      <c r="L11" s="873"/>
      <c r="M11" s="871" t="s">
        <v>3223</v>
      </c>
      <c r="N11" s="873"/>
      <c r="O11" s="641" t="s">
        <v>3224</v>
      </c>
      <c r="P11" s="513"/>
    </row>
    <row r="12" spans="1:19" ht="11.85" customHeight="1">
      <c r="A12" s="646" t="s">
        <v>1441</v>
      </c>
      <c r="B12" s="851" t="s">
        <v>1449</v>
      </c>
      <c r="C12" s="852"/>
      <c r="D12" s="641" t="s">
        <v>1449</v>
      </c>
      <c r="E12" s="641" t="s">
        <v>3225</v>
      </c>
      <c r="F12" s="871" t="s">
        <v>3226</v>
      </c>
      <c r="G12" s="872"/>
      <c r="H12" s="873"/>
      <c r="I12" s="871" t="s">
        <v>1992</v>
      </c>
      <c r="J12" s="872"/>
      <c r="K12" s="872"/>
      <c r="L12" s="873"/>
      <c r="M12" s="871" t="s">
        <v>3227</v>
      </c>
      <c r="N12" s="873"/>
      <c r="O12" s="641" t="s">
        <v>3228</v>
      </c>
      <c r="P12" s="513"/>
    </row>
    <row r="13" spans="1:19" ht="11.85" customHeight="1">
      <c r="A13" s="646" t="s">
        <v>3229</v>
      </c>
      <c r="B13" s="851" t="s">
        <v>2217</v>
      </c>
      <c r="C13" s="852"/>
      <c r="D13" s="641" t="s">
        <v>2217</v>
      </c>
      <c r="E13" s="641" t="s">
        <v>3230</v>
      </c>
      <c r="F13" s="871" t="s">
        <v>3231</v>
      </c>
      <c r="G13" s="872"/>
      <c r="H13" s="873"/>
      <c r="I13" s="871" t="s">
        <v>2218</v>
      </c>
      <c r="J13" s="872"/>
      <c r="K13" s="872"/>
      <c r="L13" s="873"/>
      <c r="M13" s="871" t="s">
        <v>2529</v>
      </c>
      <c r="N13" s="873"/>
      <c r="O13" s="641" t="s">
        <v>3232</v>
      </c>
      <c r="P13" s="513"/>
    </row>
    <row r="14" spans="1:19" ht="11.1" customHeight="1">
      <c r="A14" s="646" t="s">
        <v>3233</v>
      </c>
      <c r="B14" s="851" t="s">
        <v>3234</v>
      </c>
      <c r="C14" s="852"/>
      <c r="D14" s="641" t="s">
        <v>3234</v>
      </c>
      <c r="E14" s="641" t="s">
        <v>3235</v>
      </c>
      <c r="F14" s="871" t="s">
        <v>3236</v>
      </c>
      <c r="G14" s="872"/>
      <c r="H14" s="873"/>
      <c r="I14" s="871" t="s">
        <v>3237</v>
      </c>
      <c r="J14" s="872"/>
      <c r="K14" s="872"/>
      <c r="L14" s="873"/>
      <c r="M14" s="871" t="s">
        <v>3238</v>
      </c>
      <c r="N14" s="873"/>
      <c r="O14" s="641" t="s">
        <v>3239</v>
      </c>
      <c r="P14" s="513"/>
    </row>
    <row r="15" spans="1:19" ht="11.85" customHeight="1">
      <c r="A15" s="646" t="s">
        <v>3240</v>
      </c>
      <c r="B15" s="851" t="s">
        <v>3241</v>
      </c>
      <c r="C15" s="852"/>
      <c r="D15" s="641" t="s">
        <v>3241</v>
      </c>
      <c r="E15" s="641" t="s">
        <v>3242</v>
      </c>
      <c r="F15" s="871" t="s">
        <v>3243</v>
      </c>
      <c r="G15" s="872"/>
      <c r="H15" s="873"/>
      <c r="I15" s="871" t="s">
        <v>3244</v>
      </c>
      <c r="J15" s="872"/>
      <c r="K15" s="872"/>
      <c r="L15" s="873"/>
      <c r="M15" s="871" t="s">
        <v>3243</v>
      </c>
      <c r="N15" s="873"/>
      <c r="O15" s="641" t="s">
        <v>3245</v>
      </c>
      <c r="P15" s="513"/>
    </row>
    <row r="16" spans="1:19" ht="11.85" customHeight="1">
      <c r="A16" s="646" t="s">
        <v>1528</v>
      </c>
      <c r="B16" s="851" t="s">
        <v>1536</v>
      </c>
      <c r="C16" s="852"/>
      <c r="D16" s="641" t="s">
        <v>1536</v>
      </c>
      <c r="E16" s="641" t="s">
        <v>3246</v>
      </c>
      <c r="F16" s="871" t="s">
        <v>3247</v>
      </c>
      <c r="G16" s="872"/>
      <c r="H16" s="873"/>
      <c r="I16" s="871" t="s">
        <v>1999</v>
      </c>
      <c r="J16" s="872"/>
      <c r="K16" s="872"/>
      <c r="L16" s="873"/>
      <c r="M16" s="871" t="s">
        <v>3248</v>
      </c>
      <c r="N16" s="873"/>
      <c r="O16" s="641" t="s">
        <v>3249</v>
      </c>
      <c r="P16" s="513"/>
    </row>
    <row r="17" spans="1:16" ht="11.85" customHeight="1">
      <c r="A17" s="646" t="s">
        <v>3250</v>
      </c>
      <c r="B17" s="851" t="s">
        <v>3251</v>
      </c>
      <c r="C17" s="852"/>
      <c r="D17" s="641" t="s">
        <v>3251</v>
      </c>
      <c r="E17" s="641" t="s">
        <v>3252</v>
      </c>
      <c r="F17" s="871" t="s">
        <v>3253</v>
      </c>
      <c r="G17" s="872"/>
      <c r="H17" s="873"/>
      <c r="I17" s="871" t="s">
        <v>3254</v>
      </c>
      <c r="J17" s="872"/>
      <c r="K17" s="872"/>
      <c r="L17" s="873"/>
      <c r="M17" s="871" t="s">
        <v>3255</v>
      </c>
      <c r="N17" s="873"/>
      <c r="O17" s="641" t="s">
        <v>3256</v>
      </c>
      <c r="P17" s="513"/>
    </row>
    <row r="18" spans="1:16" ht="11.1" customHeight="1">
      <c r="A18" s="646" t="s">
        <v>3257</v>
      </c>
      <c r="B18" s="851" t="s">
        <v>3258</v>
      </c>
      <c r="C18" s="852"/>
      <c r="D18" s="641" t="s">
        <v>3258</v>
      </c>
      <c r="E18" s="641" t="s">
        <v>3259</v>
      </c>
      <c r="F18" s="871" t="s">
        <v>3260</v>
      </c>
      <c r="G18" s="872"/>
      <c r="H18" s="873"/>
      <c r="I18" s="871" t="s">
        <v>3261</v>
      </c>
      <c r="J18" s="872"/>
      <c r="K18" s="872"/>
      <c r="L18" s="873"/>
      <c r="M18" s="871" t="s">
        <v>3262</v>
      </c>
      <c r="N18" s="873"/>
      <c r="O18" s="641" t="s">
        <v>3263</v>
      </c>
      <c r="P18" s="513"/>
    </row>
    <row r="19" spans="1:16" ht="11.85" customHeight="1">
      <c r="A19" s="646" t="s">
        <v>1543</v>
      </c>
      <c r="B19" s="851" t="s">
        <v>1551</v>
      </c>
      <c r="C19" s="852"/>
      <c r="D19" s="641" t="s">
        <v>1551</v>
      </c>
      <c r="E19" s="641" t="s">
        <v>3264</v>
      </c>
      <c r="F19" s="871" t="s">
        <v>3265</v>
      </c>
      <c r="G19" s="872"/>
      <c r="H19" s="873"/>
      <c r="I19" s="871" t="s">
        <v>2000</v>
      </c>
      <c r="J19" s="872"/>
      <c r="K19" s="872"/>
      <c r="L19" s="873"/>
      <c r="M19" s="871" t="s">
        <v>3266</v>
      </c>
      <c r="N19" s="873"/>
      <c r="O19" s="641" t="s">
        <v>3267</v>
      </c>
      <c r="P19" s="513"/>
    </row>
    <row r="20" spans="1:16" ht="11.85" customHeight="1">
      <c r="A20" s="646" t="s">
        <v>3268</v>
      </c>
      <c r="B20" s="851" t="s">
        <v>1581</v>
      </c>
      <c r="C20" s="852"/>
      <c r="D20" s="641" t="s">
        <v>1581</v>
      </c>
      <c r="E20" s="641" t="s">
        <v>3269</v>
      </c>
      <c r="F20" s="871" t="s">
        <v>3270</v>
      </c>
      <c r="G20" s="872"/>
      <c r="H20" s="873"/>
      <c r="I20" s="871" t="s">
        <v>2003</v>
      </c>
      <c r="J20" s="872"/>
      <c r="K20" s="872"/>
      <c r="L20" s="873"/>
      <c r="M20" s="871" t="s">
        <v>3271</v>
      </c>
      <c r="N20" s="873"/>
      <c r="O20" s="641" t="s">
        <v>3272</v>
      </c>
      <c r="P20" s="513"/>
    </row>
    <row r="21" spans="1:16" ht="11.85" customHeight="1">
      <c r="A21" s="646" t="s">
        <v>3273</v>
      </c>
      <c r="B21" s="851" t="s">
        <v>1566</v>
      </c>
      <c r="C21" s="852"/>
      <c r="D21" s="641" t="s">
        <v>1566</v>
      </c>
      <c r="E21" s="641" t="s">
        <v>3274</v>
      </c>
      <c r="F21" s="871" t="s">
        <v>3275</v>
      </c>
      <c r="G21" s="872"/>
      <c r="H21" s="873"/>
      <c r="I21" s="871" t="s">
        <v>2002</v>
      </c>
      <c r="J21" s="872"/>
      <c r="K21" s="872"/>
      <c r="L21" s="873"/>
      <c r="M21" s="871" t="s">
        <v>3276</v>
      </c>
      <c r="N21" s="873"/>
      <c r="O21" s="641" t="s">
        <v>3277</v>
      </c>
      <c r="P21" s="513"/>
    </row>
    <row r="22" spans="1:16" ht="11.1" customHeight="1">
      <c r="A22" s="646" t="s">
        <v>1586</v>
      </c>
      <c r="B22" s="851" t="s">
        <v>1594</v>
      </c>
      <c r="C22" s="852"/>
      <c r="D22" s="641" t="s">
        <v>1594</v>
      </c>
      <c r="E22" s="641" t="s">
        <v>3278</v>
      </c>
      <c r="F22" s="871" t="s">
        <v>3279</v>
      </c>
      <c r="G22" s="872"/>
      <c r="H22" s="873"/>
      <c r="I22" s="871" t="s">
        <v>3280</v>
      </c>
      <c r="J22" s="872"/>
      <c r="K22" s="872"/>
      <c r="L22" s="873"/>
      <c r="M22" s="871" t="s">
        <v>3281</v>
      </c>
      <c r="N22" s="873"/>
      <c r="O22" s="641" t="s">
        <v>3282</v>
      </c>
      <c r="P22" s="513"/>
    </row>
    <row r="23" spans="1:16" ht="11.85" customHeight="1">
      <c r="A23" s="646" t="s">
        <v>1602</v>
      </c>
      <c r="B23" s="851" t="s">
        <v>1610</v>
      </c>
      <c r="C23" s="852"/>
      <c r="D23" s="641" t="s">
        <v>1610</v>
      </c>
      <c r="E23" s="641" t="s">
        <v>3283</v>
      </c>
      <c r="F23" s="871" t="s">
        <v>3284</v>
      </c>
      <c r="G23" s="872"/>
      <c r="H23" s="873"/>
      <c r="I23" s="871" t="s">
        <v>3285</v>
      </c>
      <c r="J23" s="872"/>
      <c r="K23" s="872"/>
      <c r="L23" s="873"/>
      <c r="M23" s="871" t="s">
        <v>3286</v>
      </c>
      <c r="N23" s="873"/>
      <c r="O23" s="641" t="s">
        <v>3287</v>
      </c>
      <c r="P23" s="513"/>
    </row>
    <row r="24" spans="1:16" ht="11.85" customHeight="1">
      <c r="A24" s="646" t="s">
        <v>3288</v>
      </c>
      <c r="B24" s="851" t="s">
        <v>1610</v>
      </c>
      <c r="C24" s="852"/>
      <c r="D24" s="641" t="s">
        <v>1610</v>
      </c>
      <c r="E24" s="641" t="s">
        <v>3283</v>
      </c>
      <c r="F24" s="871" t="s">
        <v>3284</v>
      </c>
      <c r="G24" s="872"/>
      <c r="H24" s="873"/>
      <c r="I24" s="871" t="s">
        <v>3285</v>
      </c>
      <c r="J24" s="872"/>
      <c r="K24" s="872"/>
      <c r="L24" s="873"/>
      <c r="M24" s="871" t="s">
        <v>3286</v>
      </c>
      <c r="N24" s="873"/>
      <c r="O24" s="641" t="s">
        <v>3287</v>
      </c>
      <c r="P24" s="513"/>
    </row>
    <row r="25" spans="1:16" ht="11.85" customHeight="1">
      <c r="A25" s="646" t="s">
        <v>1617</v>
      </c>
      <c r="B25" s="851" t="s">
        <v>3289</v>
      </c>
      <c r="C25" s="852"/>
      <c r="D25" s="641" t="s">
        <v>2004</v>
      </c>
      <c r="E25" s="641" t="s">
        <v>3290</v>
      </c>
      <c r="F25" s="871" t="s">
        <v>3291</v>
      </c>
      <c r="G25" s="872"/>
      <c r="H25" s="873"/>
      <c r="I25" s="871" t="s">
        <v>2005</v>
      </c>
      <c r="J25" s="872"/>
      <c r="K25" s="872"/>
      <c r="L25" s="873"/>
      <c r="M25" s="871" t="s">
        <v>3292</v>
      </c>
      <c r="N25" s="873"/>
      <c r="O25" s="641" t="s">
        <v>3293</v>
      </c>
      <c r="P25" s="513"/>
    </row>
    <row r="26" spans="1:16" ht="11.1" customHeight="1">
      <c r="A26" s="646" t="s">
        <v>3294</v>
      </c>
      <c r="B26" s="851" t="s">
        <v>3295</v>
      </c>
      <c r="C26" s="852"/>
      <c r="D26" s="641" t="s">
        <v>3296</v>
      </c>
      <c r="E26" s="641" t="s">
        <v>3297</v>
      </c>
      <c r="F26" s="871" t="s">
        <v>3298</v>
      </c>
      <c r="G26" s="872"/>
      <c r="H26" s="873"/>
      <c r="I26" s="871" t="s">
        <v>3299</v>
      </c>
      <c r="J26" s="872"/>
      <c r="K26" s="872"/>
      <c r="L26" s="873"/>
      <c r="M26" s="871" t="s">
        <v>3300</v>
      </c>
      <c r="N26" s="873"/>
      <c r="O26" s="641" t="s">
        <v>3301</v>
      </c>
      <c r="P26" s="513"/>
    </row>
    <row r="27" spans="1:16" ht="11.85" customHeight="1">
      <c r="A27" s="646" t="s">
        <v>3302</v>
      </c>
      <c r="B27" s="851" t="s">
        <v>3303</v>
      </c>
      <c r="C27" s="852"/>
      <c r="D27" s="641" t="s">
        <v>3304</v>
      </c>
      <c r="E27" s="641" t="s">
        <v>3305</v>
      </c>
      <c r="F27" s="871" t="s">
        <v>3306</v>
      </c>
      <c r="G27" s="872"/>
      <c r="H27" s="873"/>
      <c r="I27" s="871" t="s">
        <v>3307</v>
      </c>
      <c r="J27" s="872"/>
      <c r="K27" s="872"/>
      <c r="L27" s="873"/>
      <c r="M27" s="871" t="s">
        <v>3308</v>
      </c>
      <c r="N27" s="873"/>
      <c r="O27" s="641" t="s">
        <v>3309</v>
      </c>
      <c r="P27" s="513"/>
    </row>
    <row r="28" spans="1:16" ht="11.85" customHeight="1">
      <c r="A28" s="646" t="s">
        <v>3310</v>
      </c>
      <c r="B28" s="851" t="s">
        <v>3311</v>
      </c>
      <c r="C28" s="852"/>
      <c r="D28" s="641" t="s">
        <v>3311</v>
      </c>
      <c r="E28" s="641" t="s">
        <v>3312</v>
      </c>
      <c r="F28" s="871" t="s">
        <v>3313</v>
      </c>
      <c r="G28" s="872"/>
      <c r="H28" s="873"/>
      <c r="I28" s="871" t="s">
        <v>3314</v>
      </c>
      <c r="J28" s="872"/>
      <c r="K28" s="872"/>
      <c r="L28" s="873"/>
      <c r="M28" s="871" t="s">
        <v>3315</v>
      </c>
      <c r="N28" s="873"/>
      <c r="O28" s="641" t="s">
        <v>3316</v>
      </c>
      <c r="P28" s="513"/>
    </row>
    <row r="29" spans="1:16" ht="11.85" customHeight="1">
      <c r="A29" s="646" t="s">
        <v>3317</v>
      </c>
      <c r="B29" s="851">
        <v>4</v>
      </c>
      <c r="C29" s="852"/>
      <c r="D29" s="641" t="s">
        <v>2615</v>
      </c>
      <c r="E29" s="641" t="s">
        <v>895</v>
      </c>
      <c r="F29" s="871" t="s">
        <v>895</v>
      </c>
      <c r="G29" s="872"/>
      <c r="H29" s="873"/>
      <c r="I29" s="871" t="s">
        <v>895</v>
      </c>
      <c r="J29" s="872"/>
      <c r="K29" s="872"/>
      <c r="L29" s="873"/>
      <c r="M29" s="871" t="s">
        <v>895</v>
      </c>
      <c r="N29" s="873"/>
      <c r="O29" s="641" t="s">
        <v>2615</v>
      </c>
      <c r="P29" s="513"/>
    </row>
    <row r="30" spans="1:16" ht="11.1" customHeight="1">
      <c r="A30" s="646" t="s">
        <v>3318</v>
      </c>
      <c r="B30" s="851" t="s">
        <v>3319</v>
      </c>
      <c r="C30" s="852"/>
      <c r="D30" s="641" t="s">
        <v>1720</v>
      </c>
      <c r="E30" s="641" t="s">
        <v>3320</v>
      </c>
      <c r="F30" s="871" t="s">
        <v>3321</v>
      </c>
      <c r="G30" s="872"/>
      <c r="H30" s="873"/>
      <c r="I30" s="871" t="s">
        <v>2017</v>
      </c>
      <c r="J30" s="872"/>
      <c r="K30" s="872"/>
      <c r="L30" s="873"/>
      <c r="M30" s="871" t="s">
        <v>3322</v>
      </c>
      <c r="N30" s="873"/>
      <c r="O30" s="641" t="s">
        <v>3323</v>
      </c>
      <c r="P30" s="513"/>
    </row>
    <row r="31" spans="1:16" ht="11.85" customHeight="1">
      <c r="A31" s="646" t="s">
        <v>3324</v>
      </c>
      <c r="B31" s="851" t="s">
        <v>3325</v>
      </c>
      <c r="C31" s="852"/>
      <c r="D31" s="641" t="s">
        <v>3325</v>
      </c>
      <c r="E31" s="641" t="s">
        <v>895</v>
      </c>
      <c r="F31" s="871" t="s">
        <v>895</v>
      </c>
      <c r="G31" s="872"/>
      <c r="H31" s="873"/>
      <c r="I31" s="871" t="s">
        <v>3326</v>
      </c>
      <c r="J31" s="872"/>
      <c r="K31" s="872"/>
      <c r="L31" s="873"/>
      <c r="M31" s="871" t="s">
        <v>3327</v>
      </c>
      <c r="N31" s="873"/>
      <c r="O31" s="641" t="s">
        <v>3328</v>
      </c>
      <c r="P31" s="513"/>
    </row>
    <row r="32" spans="1:16" ht="11.85" customHeight="1">
      <c r="A32" s="646" t="s">
        <v>1742</v>
      </c>
      <c r="B32" s="851" t="s">
        <v>1750</v>
      </c>
      <c r="C32" s="852"/>
      <c r="D32" s="641" t="s">
        <v>1750</v>
      </c>
      <c r="E32" s="641" t="s">
        <v>3329</v>
      </c>
      <c r="F32" s="871" t="s">
        <v>3330</v>
      </c>
      <c r="G32" s="872"/>
      <c r="H32" s="873"/>
      <c r="I32" s="871" t="s">
        <v>3331</v>
      </c>
      <c r="J32" s="872"/>
      <c r="K32" s="872"/>
      <c r="L32" s="873"/>
      <c r="M32" s="871" t="s">
        <v>3332</v>
      </c>
      <c r="N32" s="873"/>
      <c r="O32" s="641" t="s">
        <v>3333</v>
      </c>
      <c r="P32" s="513"/>
    </row>
    <row r="33" spans="1:19" ht="11.85" customHeight="1">
      <c r="A33" s="646" t="s">
        <v>3334</v>
      </c>
      <c r="B33" s="851" t="s">
        <v>2448</v>
      </c>
      <c r="C33" s="852"/>
      <c r="D33" s="641" t="s">
        <v>2448</v>
      </c>
      <c r="E33" s="641" t="s">
        <v>3335</v>
      </c>
      <c r="F33" s="871" t="s">
        <v>3336</v>
      </c>
      <c r="G33" s="872"/>
      <c r="H33" s="873"/>
      <c r="I33" s="871" t="s">
        <v>3337</v>
      </c>
      <c r="J33" s="872"/>
      <c r="K33" s="872"/>
      <c r="L33" s="873"/>
      <c r="M33" s="871" t="s">
        <v>3338</v>
      </c>
      <c r="N33" s="873"/>
      <c r="O33" s="641" t="s">
        <v>3339</v>
      </c>
      <c r="P33" s="513"/>
    </row>
    <row r="34" spans="1:19" ht="11.1" customHeight="1">
      <c r="A34" s="646" t="s">
        <v>3340</v>
      </c>
      <c r="B34" s="851" t="s">
        <v>3341</v>
      </c>
      <c r="C34" s="852"/>
      <c r="D34" s="641" t="s">
        <v>3341</v>
      </c>
      <c r="E34" s="641" t="s">
        <v>3342</v>
      </c>
      <c r="F34" s="871" t="s">
        <v>3343</v>
      </c>
      <c r="G34" s="872"/>
      <c r="H34" s="873"/>
      <c r="I34" s="871" t="s">
        <v>3344</v>
      </c>
      <c r="J34" s="872"/>
      <c r="K34" s="872"/>
      <c r="L34" s="873"/>
      <c r="M34" s="871" t="s">
        <v>3345</v>
      </c>
      <c r="N34" s="873"/>
      <c r="O34" s="641" t="s">
        <v>3346</v>
      </c>
      <c r="P34" s="513"/>
    </row>
    <row r="35" spans="1:19" ht="11.85" customHeight="1">
      <c r="A35" s="646" t="s">
        <v>1879</v>
      </c>
      <c r="B35" s="851" t="s">
        <v>3347</v>
      </c>
      <c r="C35" s="852"/>
      <c r="D35" s="641" t="s">
        <v>3347</v>
      </c>
      <c r="E35" s="641" t="s">
        <v>3348</v>
      </c>
      <c r="F35" s="871" t="s">
        <v>3349</v>
      </c>
      <c r="G35" s="872"/>
      <c r="H35" s="873"/>
      <c r="I35" s="871" t="s">
        <v>3350</v>
      </c>
      <c r="J35" s="872"/>
      <c r="K35" s="872"/>
      <c r="L35" s="873"/>
      <c r="M35" s="871" t="s">
        <v>3351</v>
      </c>
      <c r="N35" s="873"/>
      <c r="O35" s="641" t="s">
        <v>3352</v>
      </c>
      <c r="P35" s="513"/>
    </row>
    <row r="36" spans="1:19" ht="11.85" customHeight="1">
      <c r="A36" s="646" t="s">
        <v>3353</v>
      </c>
      <c r="B36" s="851" t="s">
        <v>3354</v>
      </c>
      <c r="C36" s="852"/>
      <c r="D36" s="641" t="s">
        <v>2031</v>
      </c>
      <c r="E36" s="641" t="s">
        <v>3355</v>
      </c>
      <c r="F36" s="871" t="s">
        <v>3356</v>
      </c>
      <c r="G36" s="872"/>
      <c r="H36" s="873"/>
      <c r="I36" s="871" t="s">
        <v>2032</v>
      </c>
      <c r="J36" s="872"/>
      <c r="K36" s="872"/>
      <c r="L36" s="873"/>
      <c r="M36" s="871" t="s">
        <v>3357</v>
      </c>
      <c r="N36" s="873"/>
      <c r="O36" s="641" t="s">
        <v>3358</v>
      </c>
      <c r="P36" s="513"/>
    </row>
    <row r="37" spans="1:19" ht="11.85" customHeight="1">
      <c r="A37" s="646" t="s">
        <v>1883</v>
      </c>
      <c r="B37" s="851" t="s">
        <v>2035</v>
      </c>
      <c r="C37" s="852"/>
      <c r="D37" s="641" t="s">
        <v>2035</v>
      </c>
      <c r="E37" s="641" t="s">
        <v>895</v>
      </c>
      <c r="F37" s="871" t="s">
        <v>895</v>
      </c>
      <c r="G37" s="872"/>
      <c r="H37" s="873"/>
      <c r="I37" s="871" t="s">
        <v>2036</v>
      </c>
      <c r="J37" s="872"/>
      <c r="K37" s="872"/>
      <c r="L37" s="873"/>
      <c r="M37" s="871" t="s">
        <v>3359</v>
      </c>
      <c r="N37" s="873"/>
      <c r="O37" s="641" t="s">
        <v>3360</v>
      </c>
      <c r="P37" s="513"/>
    </row>
    <row r="38" spans="1:19" ht="11.1" customHeight="1">
      <c r="A38" s="646" t="s">
        <v>2041</v>
      </c>
      <c r="B38" s="851" t="s">
        <v>2042</v>
      </c>
      <c r="C38" s="852"/>
      <c r="D38" s="641" t="s">
        <v>2042</v>
      </c>
      <c r="E38" s="641" t="s">
        <v>3361</v>
      </c>
      <c r="F38" s="871" t="s">
        <v>3362</v>
      </c>
      <c r="G38" s="872"/>
      <c r="H38" s="873"/>
      <c r="I38" s="871" t="s">
        <v>2043</v>
      </c>
      <c r="J38" s="872"/>
      <c r="K38" s="872"/>
      <c r="L38" s="873"/>
      <c r="M38" s="871" t="s">
        <v>3363</v>
      </c>
      <c r="N38" s="873"/>
      <c r="O38" s="641" t="s">
        <v>3364</v>
      </c>
      <c r="P38" s="513"/>
    </row>
    <row r="39" spans="1:19" ht="11.85" customHeight="1">
      <c r="A39" s="646" t="s">
        <v>3294</v>
      </c>
      <c r="B39" s="851" t="s">
        <v>3365</v>
      </c>
      <c r="C39" s="852"/>
      <c r="D39" s="641" t="s">
        <v>3365</v>
      </c>
      <c r="E39" s="641" t="s">
        <v>3361</v>
      </c>
      <c r="F39" s="871" t="s">
        <v>3366</v>
      </c>
      <c r="G39" s="872"/>
      <c r="H39" s="873"/>
      <c r="I39" s="871" t="s">
        <v>2046</v>
      </c>
      <c r="J39" s="872"/>
      <c r="K39" s="872"/>
      <c r="L39" s="873"/>
      <c r="M39" s="871" t="s">
        <v>3367</v>
      </c>
      <c r="N39" s="873"/>
      <c r="O39" s="641" t="s">
        <v>3368</v>
      </c>
      <c r="P39" s="513"/>
    </row>
    <row r="40" spans="1:19" ht="11.85" customHeight="1">
      <c r="A40" s="646" t="s">
        <v>3302</v>
      </c>
      <c r="B40" s="851" t="s">
        <v>2633</v>
      </c>
      <c r="C40" s="852"/>
      <c r="D40" s="641" t="s">
        <v>2633</v>
      </c>
      <c r="E40" s="641" t="s">
        <v>895</v>
      </c>
      <c r="F40" s="871" t="s">
        <v>895</v>
      </c>
      <c r="G40" s="872"/>
      <c r="H40" s="873"/>
      <c r="I40" s="871" t="s">
        <v>2049</v>
      </c>
      <c r="J40" s="872"/>
      <c r="K40" s="872"/>
      <c r="L40" s="873"/>
      <c r="M40" s="871" t="s">
        <v>3369</v>
      </c>
      <c r="N40" s="873"/>
      <c r="O40" s="641" t="s">
        <v>3370</v>
      </c>
      <c r="P40" s="513"/>
    </row>
    <row r="41" spans="1:19" ht="11.85" customHeight="1">
      <c r="A41" s="646" t="s">
        <v>1884</v>
      </c>
      <c r="B41" s="851" t="s">
        <v>3371</v>
      </c>
      <c r="C41" s="852"/>
      <c r="D41" s="641" t="s">
        <v>2050</v>
      </c>
      <c r="E41" s="641" t="s">
        <v>3372</v>
      </c>
      <c r="F41" s="871" t="s">
        <v>3373</v>
      </c>
      <c r="G41" s="872"/>
      <c r="H41" s="873"/>
      <c r="I41" s="871" t="s">
        <v>2051</v>
      </c>
      <c r="J41" s="872"/>
      <c r="K41" s="872"/>
      <c r="L41" s="873"/>
      <c r="M41" s="871" t="s">
        <v>3374</v>
      </c>
      <c r="N41" s="873"/>
      <c r="O41" s="641" t="s">
        <v>3375</v>
      </c>
      <c r="P41" s="513"/>
    </row>
    <row r="42" spans="1:19" ht="11.1" customHeight="1">
      <c r="A42" s="646" t="s">
        <v>3376</v>
      </c>
      <c r="B42" s="851" t="s">
        <v>3371</v>
      </c>
      <c r="C42" s="852"/>
      <c r="D42" s="641" t="s">
        <v>2050</v>
      </c>
      <c r="E42" s="641" t="s">
        <v>3372</v>
      </c>
      <c r="F42" s="871" t="s">
        <v>3373</v>
      </c>
      <c r="G42" s="872"/>
      <c r="H42" s="873"/>
      <c r="I42" s="871" t="s">
        <v>2051</v>
      </c>
      <c r="J42" s="872"/>
      <c r="K42" s="872"/>
      <c r="L42" s="873"/>
      <c r="M42" s="871" t="s">
        <v>3374</v>
      </c>
      <c r="N42" s="873"/>
      <c r="O42" s="641" t="s">
        <v>3375</v>
      </c>
      <c r="P42" s="513"/>
    </row>
    <row r="43" spans="1:19" ht="11.85" customHeight="1">
      <c r="A43" s="646" t="s">
        <v>3377</v>
      </c>
      <c r="B43" s="851" t="s">
        <v>3378</v>
      </c>
      <c r="C43" s="852"/>
      <c r="D43" s="641" t="s">
        <v>3378</v>
      </c>
      <c r="E43" s="641" t="s">
        <v>895</v>
      </c>
      <c r="F43" s="871" t="s">
        <v>895</v>
      </c>
      <c r="G43" s="872"/>
      <c r="H43" s="873"/>
      <c r="I43" s="871" t="s">
        <v>895</v>
      </c>
      <c r="J43" s="872"/>
      <c r="K43" s="872"/>
      <c r="L43" s="873"/>
      <c r="M43" s="871" t="s">
        <v>895</v>
      </c>
      <c r="N43" s="873"/>
      <c r="O43" s="641" t="s">
        <v>3378</v>
      </c>
      <c r="P43" s="513"/>
    </row>
    <row r="44" spans="1:19" ht="11.85" customHeight="1">
      <c r="A44" s="646" t="s">
        <v>1883</v>
      </c>
      <c r="B44" s="851" t="s">
        <v>3378</v>
      </c>
      <c r="C44" s="852"/>
      <c r="D44" s="641" t="s">
        <v>3378</v>
      </c>
      <c r="E44" s="641" t="s">
        <v>895</v>
      </c>
      <c r="F44" s="871" t="s">
        <v>895</v>
      </c>
      <c r="G44" s="872"/>
      <c r="H44" s="873"/>
      <c r="I44" s="871" t="s">
        <v>895</v>
      </c>
      <c r="J44" s="872"/>
      <c r="K44" s="872"/>
      <c r="L44" s="873"/>
      <c r="M44" s="871" t="s">
        <v>895</v>
      </c>
      <c r="N44" s="873"/>
      <c r="O44" s="641" t="s">
        <v>3378</v>
      </c>
      <c r="P44" s="513"/>
    </row>
    <row r="45" spans="1:19" ht="11.85" customHeight="1">
      <c r="A45" s="644" t="s">
        <v>3379</v>
      </c>
      <c r="B45" s="857" t="s">
        <v>3380</v>
      </c>
      <c r="C45" s="858"/>
      <c r="D45" s="640" t="s">
        <v>3380</v>
      </c>
      <c r="E45" s="640" t="s">
        <v>3381</v>
      </c>
      <c r="F45" s="897" t="s">
        <v>3382</v>
      </c>
      <c r="G45" s="898"/>
      <c r="H45" s="899"/>
      <c r="I45" s="897" t="s">
        <v>3383</v>
      </c>
      <c r="J45" s="898"/>
      <c r="K45" s="898"/>
      <c r="L45" s="899"/>
      <c r="M45" s="897" t="s">
        <v>3384</v>
      </c>
      <c r="N45" s="899"/>
      <c r="O45" s="640" t="s">
        <v>3385</v>
      </c>
      <c r="P45" s="513"/>
    </row>
    <row r="46" spans="1:19" ht="11.1" customHeight="1">
      <c r="A46" s="571" t="s">
        <v>3386</v>
      </c>
      <c r="B46" s="978" t="s">
        <v>3387</v>
      </c>
      <c r="C46" s="980"/>
      <c r="D46" s="643" t="s">
        <v>3388</v>
      </c>
      <c r="E46" s="643" t="s">
        <v>3389</v>
      </c>
      <c r="F46" s="939" t="s">
        <v>3390</v>
      </c>
      <c r="G46" s="940"/>
      <c r="H46" s="941"/>
      <c r="I46" s="939" t="s">
        <v>1172</v>
      </c>
      <c r="J46" s="940"/>
      <c r="K46" s="940"/>
      <c r="L46" s="941"/>
      <c r="M46" s="939" t="s">
        <v>3391</v>
      </c>
      <c r="N46" s="941"/>
      <c r="O46" s="643" t="s">
        <v>3392</v>
      </c>
      <c r="P46" s="513"/>
    </row>
    <row r="47" spans="1:19" ht="11.85" customHeight="1">
      <c r="A47" s="916" t="s">
        <v>3393</v>
      </c>
      <c r="B47" s="1240"/>
      <c r="C47" s="1240"/>
      <c r="D47" s="1240"/>
      <c r="E47" s="1240"/>
      <c r="F47" s="1240"/>
      <c r="G47" s="1240"/>
      <c r="H47" s="1240"/>
      <c r="I47" s="1240"/>
      <c r="J47" s="1240"/>
      <c r="K47" s="1240"/>
      <c r="L47" s="1240"/>
      <c r="M47" s="1240"/>
      <c r="N47" s="1240"/>
      <c r="O47" s="1240"/>
      <c r="P47" s="916"/>
      <c r="Q47" s="916"/>
      <c r="R47" s="916"/>
      <c r="S47" s="916"/>
    </row>
    <row r="48" spans="1:19" ht="5.85" customHeight="1"/>
    <row r="49" spans="1:19" ht="11.85" customHeight="1">
      <c r="A49" s="861" t="s">
        <v>1405</v>
      </c>
      <c r="B49" s="861"/>
      <c r="S49" s="645" t="s">
        <v>3394</v>
      </c>
    </row>
    <row r="50" spans="1:19" ht="11.1" customHeight="1">
      <c r="A50" s="861" t="s">
        <v>882</v>
      </c>
      <c r="B50" s="861"/>
    </row>
    <row r="51" spans="1:19" ht="11.85" customHeight="1">
      <c r="A51" s="863" t="s">
        <v>3205</v>
      </c>
      <c r="B51" s="863"/>
    </row>
    <row r="52" spans="1:19" ht="11.85" customHeight="1">
      <c r="A52" s="861" t="s">
        <v>1310</v>
      </c>
      <c r="B52" s="861"/>
    </row>
    <row r="53" spans="1:19" ht="11.85" customHeight="1">
      <c r="A53" s="861" t="s">
        <v>885</v>
      </c>
      <c r="B53" s="861"/>
    </row>
    <row r="54" spans="1:19" ht="5.85" customHeight="1"/>
    <row r="55" spans="1:19" ht="11.1" customHeight="1">
      <c r="A55" s="958" t="s">
        <v>3206</v>
      </c>
      <c r="B55" s="958"/>
      <c r="C55" s="958"/>
      <c r="D55" s="958"/>
      <c r="E55" s="958"/>
      <c r="F55" s="958"/>
      <c r="G55" s="958"/>
      <c r="H55" s="502"/>
      <c r="I55" s="502"/>
      <c r="J55" s="502"/>
      <c r="K55" s="502"/>
      <c r="L55" s="502"/>
      <c r="M55" s="502"/>
      <c r="N55" s="502"/>
      <c r="O55" s="502"/>
      <c r="Q55" s="1233" t="s">
        <v>1312</v>
      </c>
      <c r="R55" s="1233"/>
      <c r="S55" s="1233"/>
    </row>
    <row r="56" spans="1:19" ht="11.85" customHeight="1">
      <c r="A56" s="1234" t="s">
        <v>890</v>
      </c>
      <c r="B56" s="959" t="s">
        <v>2525</v>
      </c>
      <c r="C56" s="1235"/>
      <c r="D56" s="959" t="s">
        <v>1950</v>
      </c>
      <c r="E56" s="875" t="s">
        <v>2480</v>
      </c>
      <c r="F56" s="876"/>
      <c r="G56" s="876"/>
      <c r="H56" s="876"/>
      <c r="I56" s="876"/>
      <c r="J56" s="876"/>
      <c r="K56" s="876"/>
      <c r="L56" s="876"/>
      <c r="M56" s="876"/>
      <c r="N56" s="877"/>
      <c r="O56" s="959" t="s">
        <v>3207</v>
      </c>
      <c r="P56" s="513"/>
    </row>
    <row r="57" spans="1:19" ht="17.850000000000001" customHeight="1">
      <c r="A57" s="1236"/>
      <c r="B57" s="1237"/>
      <c r="C57" s="1238"/>
      <c r="D57" s="1239"/>
      <c r="E57" s="648" t="s">
        <v>3208</v>
      </c>
      <c r="F57" s="959" t="s">
        <v>3209</v>
      </c>
      <c r="G57" s="960"/>
      <c r="H57" s="961"/>
      <c r="I57" s="959" t="s">
        <v>3210</v>
      </c>
      <c r="J57" s="960"/>
      <c r="K57" s="960"/>
      <c r="L57" s="961"/>
      <c r="M57" s="959" t="s">
        <v>3211</v>
      </c>
      <c r="N57" s="961"/>
      <c r="O57" s="1239"/>
      <c r="P57" s="513"/>
    </row>
    <row r="58" spans="1:19" ht="11.1" customHeight="1">
      <c r="A58" s="647" t="s">
        <v>3395</v>
      </c>
      <c r="B58" s="972" t="s">
        <v>895</v>
      </c>
      <c r="C58" s="974"/>
      <c r="D58" s="642" t="s">
        <v>895</v>
      </c>
      <c r="E58" s="642" t="s">
        <v>895</v>
      </c>
      <c r="F58" s="866" t="s">
        <v>895</v>
      </c>
      <c r="G58" s="867"/>
      <c r="H58" s="868"/>
      <c r="I58" s="866" t="s">
        <v>895</v>
      </c>
      <c r="J58" s="867"/>
      <c r="K58" s="867"/>
      <c r="L58" s="868"/>
      <c r="M58" s="866" t="s">
        <v>895</v>
      </c>
      <c r="N58" s="868"/>
      <c r="O58" s="642" t="s">
        <v>895</v>
      </c>
      <c r="P58" s="513"/>
    </row>
    <row r="59" spans="1:19" ht="11.85" customHeight="1">
      <c r="A59" s="646" t="s">
        <v>3396</v>
      </c>
      <c r="B59" s="851" t="s">
        <v>895</v>
      </c>
      <c r="C59" s="852"/>
      <c r="D59" s="641" t="s">
        <v>895</v>
      </c>
      <c r="E59" s="641" t="s">
        <v>895</v>
      </c>
      <c r="F59" s="871" t="s">
        <v>895</v>
      </c>
      <c r="G59" s="872"/>
      <c r="H59" s="873"/>
      <c r="I59" s="871" t="s">
        <v>895</v>
      </c>
      <c r="J59" s="872"/>
      <c r="K59" s="872"/>
      <c r="L59" s="873"/>
      <c r="M59" s="871" t="s">
        <v>895</v>
      </c>
      <c r="N59" s="873"/>
      <c r="O59" s="641" t="s">
        <v>895</v>
      </c>
      <c r="P59" s="513"/>
    </row>
    <row r="60" spans="1:19" ht="11.85" customHeight="1">
      <c r="A60" s="644" t="s">
        <v>3397</v>
      </c>
      <c r="B60" s="857" t="s">
        <v>895</v>
      </c>
      <c r="C60" s="858"/>
      <c r="D60" s="640" t="s">
        <v>895</v>
      </c>
      <c r="E60" s="640" t="s">
        <v>895</v>
      </c>
      <c r="F60" s="897" t="s">
        <v>895</v>
      </c>
      <c r="G60" s="898"/>
      <c r="H60" s="899"/>
      <c r="I60" s="897" t="s">
        <v>895</v>
      </c>
      <c r="J60" s="898"/>
      <c r="K60" s="898"/>
      <c r="L60" s="899"/>
      <c r="M60" s="897" t="s">
        <v>895</v>
      </c>
      <c r="N60" s="899"/>
      <c r="O60" s="640" t="s">
        <v>895</v>
      </c>
      <c r="P60" s="513"/>
    </row>
    <row r="61" spans="1:19" ht="11.85" customHeight="1">
      <c r="A61" s="571" t="s">
        <v>3398</v>
      </c>
      <c r="B61" s="978" t="s">
        <v>3387</v>
      </c>
      <c r="C61" s="980"/>
      <c r="D61" s="643" t="s">
        <v>3388</v>
      </c>
      <c r="E61" s="643" t="s">
        <v>3389</v>
      </c>
      <c r="F61" s="939" t="s">
        <v>3390</v>
      </c>
      <c r="G61" s="940"/>
      <c r="H61" s="941"/>
      <c r="I61" s="939" t="s">
        <v>1172</v>
      </c>
      <c r="J61" s="940"/>
      <c r="K61" s="940"/>
      <c r="L61" s="941"/>
      <c r="M61" s="939" t="s">
        <v>3391</v>
      </c>
      <c r="N61" s="941"/>
      <c r="O61" s="643" t="s">
        <v>3392</v>
      </c>
      <c r="P61" s="513"/>
    </row>
    <row r="62" spans="1:19" ht="11.1" customHeight="1">
      <c r="A62" s="571" t="s">
        <v>3399</v>
      </c>
      <c r="B62" s="978" t="s">
        <v>895</v>
      </c>
      <c r="C62" s="980"/>
      <c r="D62" s="643" t="s">
        <v>895</v>
      </c>
      <c r="E62" s="643" t="s">
        <v>895</v>
      </c>
      <c r="F62" s="939" t="s">
        <v>895</v>
      </c>
      <c r="G62" s="940"/>
      <c r="H62" s="941"/>
      <c r="I62" s="939" t="s">
        <v>895</v>
      </c>
      <c r="J62" s="940"/>
      <c r="K62" s="940"/>
      <c r="L62" s="941"/>
      <c r="M62" s="939" t="s">
        <v>895</v>
      </c>
      <c r="N62" s="941"/>
      <c r="O62" s="643" t="s">
        <v>895</v>
      </c>
      <c r="P62" s="513"/>
    </row>
    <row r="63" spans="1:19" ht="11.85" customHeight="1">
      <c r="A63" s="1241" t="s">
        <v>3400</v>
      </c>
      <c r="B63" s="1242" t="s">
        <v>3387</v>
      </c>
      <c r="C63" s="1243"/>
      <c r="D63" s="1244" t="s">
        <v>3388</v>
      </c>
      <c r="E63" s="1244" t="s">
        <v>3389</v>
      </c>
      <c r="F63" s="1245" t="s">
        <v>3390</v>
      </c>
      <c r="G63" s="1246"/>
      <c r="H63" s="1247"/>
      <c r="I63" s="1245" t="s">
        <v>1172</v>
      </c>
      <c r="J63" s="1246"/>
      <c r="K63" s="1246"/>
      <c r="L63" s="1247"/>
      <c r="M63" s="1245" t="s">
        <v>3391</v>
      </c>
      <c r="N63" s="1247"/>
      <c r="O63" s="1244" t="s">
        <v>3392</v>
      </c>
      <c r="P63" s="513"/>
    </row>
    <row r="64" spans="1:19" ht="11.85" customHeight="1">
      <c r="A64" s="571" t="s">
        <v>3401</v>
      </c>
      <c r="B64" s="978" t="s">
        <v>895</v>
      </c>
      <c r="C64" s="980"/>
      <c r="D64" s="643" t="s">
        <v>2182</v>
      </c>
      <c r="E64" s="643" t="s">
        <v>895</v>
      </c>
      <c r="F64" s="939" t="s">
        <v>895</v>
      </c>
      <c r="G64" s="940"/>
      <c r="H64" s="941"/>
      <c r="I64" s="939" t="s">
        <v>2182</v>
      </c>
      <c r="J64" s="940"/>
      <c r="K64" s="940"/>
      <c r="L64" s="941"/>
      <c r="M64" s="939" t="s">
        <v>895</v>
      </c>
      <c r="N64" s="941"/>
      <c r="O64" s="643" t="s">
        <v>895</v>
      </c>
      <c r="P64" s="513"/>
    </row>
    <row r="65" spans="1:20" ht="11.85" customHeight="1">
      <c r="A65" s="571" t="s">
        <v>3402</v>
      </c>
      <c r="B65" s="978" t="s">
        <v>895</v>
      </c>
      <c r="C65" s="980"/>
      <c r="D65" s="643" t="s">
        <v>2182</v>
      </c>
      <c r="E65" s="643" t="s">
        <v>895</v>
      </c>
      <c r="F65" s="939" t="s">
        <v>895</v>
      </c>
      <c r="G65" s="940"/>
      <c r="H65" s="941"/>
      <c r="I65" s="939" t="s">
        <v>2182</v>
      </c>
      <c r="J65" s="940"/>
      <c r="K65" s="940"/>
      <c r="L65" s="941"/>
      <c r="M65" s="939" t="s">
        <v>895</v>
      </c>
      <c r="N65" s="941"/>
      <c r="O65" s="643" t="s">
        <v>895</v>
      </c>
      <c r="P65" s="513"/>
    </row>
    <row r="66" spans="1:20" ht="11.1" customHeight="1">
      <c r="A66" s="520"/>
      <c r="B66" s="520"/>
      <c r="C66" s="520"/>
      <c r="D66" s="520"/>
      <c r="E66" s="520"/>
      <c r="F66" s="520"/>
      <c r="G66" s="520"/>
      <c r="H66" s="520"/>
      <c r="I66" s="520"/>
      <c r="J66" s="520"/>
      <c r="K66" s="520"/>
      <c r="L66" s="520"/>
      <c r="M66" s="520"/>
      <c r="N66" s="520"/>
      <c r="O66" s="520"/>
      <c r="P66" s="502"/>
      <c r="Q66" s="502"/>
      <c r="R66" s="502"/>
      <c r="S66" s="502"/>
    </row>
    <row r="67" spans="1:20" ht="11.85" customHeight="1">
      <c r="A67" s="1234" t="s">
        <v>897</v>
      </c>
      <c r="B67" s="959" t="s">
        <v>3403</v>
      </c>
      <c r="C67" s="1235"/>
      <c r="D67" s="959" t="s">
        <v>3404</v>
      </c>
      <c r="E67" s="875" t="s">
        <v>2579</v>
      </c>
      <c r="F67" s="876"/>
      <c r="G67" s="876"/>
      <c r="H67" s="876"/>
      <c r="I67" s="877"/>
      <c r="J67" s="959" t="s">
        <v>3405</v>
      </c>
      <c r="K67" s="1235"/>
      <c r="L67" s="875" t="s">
        <v>2580</v>
      </c>
      <c r="M67" s="876"/>
      <c r="N67" s="876"/>
      <c r="O67" s="877"/>
      <c r="P67" s="959" t="s">
        <v>3406</v>
      </c>
      <c r="Q67" s="959" t="s">
        <v>3407</v>
      </c>
      <c r="R67" s="959" t="s">
        <v>3408</v>
      </c>
      <c r="S67" s="1235"/>
      <c r="T67" s="513"/>
    </row>
    <row r="68" spans="1:20" ht="17.850000000000001" customHeight="1">
      <c r="A68" s="1236"/>
      <c r="B68" s="1237"/>
      <c r="C68" s="1238"/>
      <c r="D68" s="1239"/>
      <c r="E68" s="648" t="s">
        <v>1319</v>
      </c>
      <c r="F68" s="959" t="s">
        <v>3409</v>
      </c>
      <c r="G68" s="960"/>
      <c r="H68" s="960"/>
      <c r="I68" s="961"/>
      <c r="J68" s="1237"/>
      <c r="K68" s="1238"/>
      <c r="L68" s="959" t="s">
        <v>1319</v>
      </c>
      <c r="M68" s="960"/>
      <c r="N68" s="961"/>
      <c r="O68" s="648" t="s">
        <v>3410</v>
      </c>
      <c r="P68" s="1239"/>
      <c r="Q68" s="1239"/>
      <c r="R68" s="1237"/>
      <c r="S68" s="1238"/>
      <c r="T68" s="513"/>
    </row>
    <row r="69" spans="1:20" ht="11.85" customHeight="1">
      <c r="A69" s="647" t="s">
        <v>3411</v>
      </c>
      <c r="B69" s="972" t="s">
        <v>3412</v>
      </c>
      <c r="C69" s="974"/>
      <c r="D69" s="649" t="s">
        <v>3413</v>
      </c>
      <c r="E69" s="649" t="s">
        <v>3414</v>
      </c>
      <c r="F69" s="972" t="s">
        <v>3415</v>
      </c>
      <c r="G69" s="973"/>
      <c r="H69" s="973"/>
      <c r="I69" s="974"/>
      <c r="J69" s="972" t="s">
        <v>3416</v>
      </c>
      <c r="K69" s="974"/>
      <c r="L69" s="972" t="s">
        <v>3417</v>
      </c>
      <c r="M69" s="973"/>
      <c r="N69" s="974"/>
      <c r="O69" s="649" t="s">
        <v>3418</v>
      </c>
      <c r="P69" s="649" t="s">
        <v>3419</v>
      </c>
      <c r="Q69" s="649" t="s">
        <v>3420</v>
      </c>
      <c r="R69" s="972" t="s">
        <v>895</v>
      </c>
      <c r="S69" s="974"/>
      <c r="T69" s="569"/>
    </row>
    <row r="70" spans="1:20" ht="11.1" customHeight="1">
      <c r="A70" s="646" t="s">
        <v>3421</v>
      </c>
      <c r="B70" s="851" t="s">
        <v>3422</v>
      </c>
      <c r="C70" s="852"/>
      <c r="D70" s="638" t="s">
        <v>2066</v>
      </c>
      <c r="E70" s="638" t="s">
        <v>3423</v>
      </c>
      <c r="F70" s="851" t="s">
        <v>2067</v>
      </c>
      <c r="G70" s="853"/>
      <c r="H70" s="853"/>
      <c r="I70" s="852"/>
      <c r="J70" s="851" t="s">
        <v>3424</v>
      </c>
      <c r="K70" s="852"/>
      <c r="L70" s="851" t="s">
        <v>3425</v>
      </c>
      <c r="M70" s="853"/>
      <c r="N70" s="852"/>
      <c r="O70" s="638" t="s">
        <v>2068</v>
      </c>
      <c r="P70" s="638" t="s">
        <v>3426</v>
      </c>
      <c r="Q70" s="638" t="s">
        <v>2069</v>
      </c>
      <c r="R70" s="851" t="s">
        <v>895</v>
      </c>
      <c r="S70" s="852"/>
      <c r="T70" s="569"/>
    </row>
    <row r="71" spans="1:20" ht="11.85" customHeight="1">
      <c r="A71" s="646" t="s">
        <v>3427</v>
      </c>
      <c r="B71" s="851" t="s">
        <v>3428</v>
      </c>
      <c r="C71" s="852"/>
      <c r="D71" s="638" t="s">
        <v>2073</v>
      </c>
      <c r="E71" s="638" t="s">
        <v>3429</v>
      </c>
      <c r="F71" s="851" t="s">
        <v>2074</v>
      </c>
      <c r="G71" s="853"/>
      <c r="H71" s="853"/>
      <c r="I71" s="852"/>
      <c r="J71" s="851" t="s">
        <v>3430</v>
      </c>
      <c r="K71" s="852"/>
      <c r="L71" s="851" t="s">
        <v>3431</v>
      </c>
      <c r="M71" s="853"/>
      <c r="N71" s="852"/>
      <c r="O71" s="638" t="s">
        <v>2075</v>
      </c>
      <c r="P71" s="638" t="s">
        <v>3432</v>
      </c>
      <c r="Q71" s="638" t="s">
        <v>2076</v>
      </c>
      <c r="R71" s="851" t="s">
        <v>895</v>
      </c>
      <c r="S71" s="852"/>
      <c r="T71" s="569"/>
    </row>
    <row r="72" spans="1:20" ht="11.85" customHeight="1">
      <c r="A72" s="646" t="s">
        <v>3433</v>
      </c>
      <c r="B72" s="851" t="s">
        <v>3434</v>
      </c>
      <c r="C72" s="852"/>
      <c r="D72" s="638" t="s">
        <v>2079</v>
      </c>
      <c r="E72" s="638" t="s">
        <v>895</v>
      </c>
      <c r="F72" s="851" t="s">
        <v>2080</v>
      </c>
      <c r="G72" s="853"/>
      <c r="H72" s="853"/>
      <c r="I72" s="852"/>
      <c r="J72" s="851" t="s">
        <v>3435</v>
      </c>
      <c r="K72" s="852"/>
      <c r="L72" s="851" t="s">
        <v>3436</v>
      </c>
      <c r="M72" s="853"/>
      <c r="N72" s="852"/>
      <c r="O72" s="638" t="s">
        <v>2081</v>
      </c>
      <c r="P72" s="638" t="s">
        <v>3437</v>
      </c>
      <c r="Q72" s="638" t="s">
        <v>2082</v>
      </c>
      <c r="R72" s="851" t="s">
        <v>895</v>
      </c>
      <c r="S72" s="852"/>
      <c r="T72" s="569"/>
    </row>
    <row r="73" spans="1:20" ht="11.85" customHeight="1">
      <c r="A73" s="646" t="s">
        <v>3438</v>
      </c>
      <c r="B73" s="851" t="s">
        <v>3439</v>
      </c>
      <c r="C73" s="852"/>
      <c r="D73" s="638" t="s">
        <v>2084</v>
      </c>
      <c r="E73" s="638" t="s">
        <v>3440</v>
      </c>
      <c r="F73" s="851" t="s">
        <v>2085</v>
      </c>
      <c r="G73" s="853"/>
      <c r="H73" s="853"/>
      <c r="I73" s="852"/>
      <c r="J73" s="851" t="s">
        <v>3441</v>
      </c>
      <c r="K73" s="852"/>
      <c r="L73" s="851" t="s">
        <v>3442</v>
      </c>
      <c r="M73" s="853"/>
      <c r="N73" s="852"/>
      <c r="O73" s="638" t="s">
        <v>2086</v>
      </c>
      <c r="P73" s="638" t="s">
        <v>3443</v>
      </c>
      <c r="Q73" s="638" t="s">
        <v>2087</v>
      </c>
      <c r="R73" s="851" t="s">
        <v>895</v>
      </c>
      <c r="S73" s="852"/>
      <c r="T73" s="569"/>
    </row>
    <row r="74" spans="1:20" ht="11.1" customHeight="1">
      <c r="A74" s="646" t="s">
        <v>2489</v>
      </c>
      <c r="B74" s="851" t="s">
        <v>3444</v>
      </c>
      <c r="C74" s="852"/>
      <c r="D74" s="638" t="s">
        <v>2095</v>
      </c>
      <c r="E74" s="638" t="s">
        <v>3445</v>
      </c>
      <c r="F74" s="851" t="s">
        <v>2096</v>
      </c>
      <c r="G74" s="853"/>
      <c r="H74" s="853"/>
      <c r="I74" s="852"/>
      <c r="J74" s="851" t="s">
        <v>3446</v>
      </c>
      <c r="K74" s="852"/>
      <c r="L74" s="851" t="s">
        <v>3447</v>
      </c>
      <c r="M74" s="853"/>
      <c r="N74" s="852"/>
      <c r="O74" s="638" t="s">
        <v>2097</v>
      </c>
      <c r="P74" s="638" t="s">
        <v>3448</v>
      </c>
      <c r="Q74" s="638" t="s">
        <v>2098</v>
      </c>
      <c r="R74" s="851" t="s">
        <v>895</v>
      </c>
      <c r="S74" s="852"/>
      <c r="T74" s="569"/>
    </row>
    <row r="75" spans="1:20" ht="11.85" customHeight="1">
      <c r="A75" s="646" t="s">
        <v>3449</v>
      </c>
      <c r="B75" s="851" t="s">
        <v>3450</v>
      </c>
      <c r="C75" s="852"/>
      <c r="D75" s="638" t="s">
        <v>2102</v>
      </c>
      <c r="E75" s="638" t="s">
        <v>3445</v>
      </c>
      <c r="F75" s="851" t="s">
        <v>2096</v>
      </c>
      <c r="G75" s="853"/>
      <c r="H75" s="853"/>
      <c r="I75" s="852"/>
      <c r="J75" s="851" t="s">
        <v>2492</v>
      </c>
      <c r="K75" s="852"/>
      <c r="L75" s="851" t="s">
        <v>3447</v>
      </c>
      <c r="M75" s="853"/>
      <c r="N75" s="852"/>
      <c r="O75" s="638" t="s">
        <v>2097</v>
      </c>
      <c r="P75" s="638" t="s">
        <v>3451</v>
      </c>
      <c r="Q75" s="638" t="s">
        <v>2098</v>
      </c>
      <c r="R75" s="851" t="s">
        <v>895</v>
      </c>
      <c r="S75" s="852"/>
      <c r="T75" s="569"/>
    </row>
    <row r="76" spans="1:20" ht="11.85" customHeight="1">
      <c r="A76" s="646" t="s">
        <v>3452</v>
      </c>
      <c r="B76" s="851" t="s">
        <v>3453</v>
      </c>
      <c r="C76" s="852"/>
      <c r="D76" s="638" t="s">
        <v>2105</v>
      </c>
      <c r="E76" s="638" t="s">
        <v>895</v>
      </c>
      <c r="F76" s="851" t="s">
        <v>895</v>
      </c>
      <c r="G76" s="853"/>
      <c r="H76" s="853"/>
      <c r="I76" s="852"/>
      <c r="J76" s="851" t="s">
        <v>2105</v>
      </c>
      <c r="K76" s="852"/>
      <c r="L76" s="851" t="s">
        <v>895</v>
      </c>
      <c r="M76" s="853"/>
      <c r="N76" s="852"/>
      <c r="O76" s="638" t="s">
        <v>895</v>
      </c>
      <c r="P76" s="638" t="s">
        <v>2105</v>
      </c>
      <c r="Q76" s="638" t="s">
        <v>895</v>
      </c>
      <c r="R76" s="851" t="s">
        <v>895</v>
      </c>
      <c r="S76" s="852"/>
      <c r="T76" s="569"/>
    </row>
    <row r="77" spans="1:20" ht="11.85" customHeight="1">
      <c r="A77" s="646" t="s">
        <v>3454</v>
      </c>
      <c r="B77" s="851" t="s">
        <v>3455</v>
      </c>
      <c r="C77" s="852"/>
      <c r="D77" s="638">
        <v>821.38</v>
      </c>
      <c r="E77" s="638" t="s">
        <v>895</v>
      </c>
      <c r="F77" s="851" t="s">
        <v>895</v>
      </c>
      <c r="G77" s="853"/>
      <c r="H77" s="853"/>
      <c r="I77" s="852"/>
      <c r="J77" s="851">
        <v>821.38</v>
      </c>
      <c r="K77" s="852"/>
      <c r="L77" s="851" t="s">
        <v>895</v>
      </c>
      <c r="M77" s="853"/>
      <c r="N77" s="852"/>
      <c r="O77" s="638" t="s">
        <v>895</v>
      </c>
      <c r="P77" s="638">
        <v>821.38</v>
      </c>
      <c r="Q77" s="638" t="s">
        <v>895</v>
      </c>
      <c r="R77" s="851" t="s">
        <v>895</v>
      </c>
      <c r="S77" s="852"/>
      <c r="T77" s="569"/>
    </row>
    <row r="78" spans="1:20" ht="11.1" customHeight="1">
      <c r="A78" s="646" t="s">
        <v>3456</v>
      </c>
      <c r="B78" s="851" t="s">
        <v>3457</v>
      </c>
      <c r="C78" s="852"/>
      <c r="D78" s="638" t="s">
        <v>2120</v>
      </c>
      <c r="E78" s="638" t="s">
        <v>895</v>
      </c>
      <c r="F78" s="851" t="s">
        <v>895</v>
      </c>
      <c r="G78" s="853"/>
      <c r="H78" s="853"/>
      <c r="I78" s="852"/>
      <c r="J78" s="851" t="s">
        <v>2120</v>
      </c>
      <c r="K78" s="852"/>
      <c r="L78" s="851" t="s">
        <v>895</v>
      </c>
      <c r="M78" s="853"/>
      <c r="N78" s="852"/>
      <c r="O78" s="638" t="s">
        <v>895</v>
      </c>
      <c r="P78" s="638" t="s">
        <v>2120</v>
      </c>
      <c r="Q78" s="638" t="s">
        <v>895</v>
      </c>
      <c r="R78" s="851" t="s">
        <v>895</v>
      </c>
      <c r="S78" s="852"/>
      <c r="T78" s="569"/>
    </row>
    <row r="79" spans="1:20" ht="11.85" customHeight="1">
      <c r="A79" s="644" t="s">
        <v>3458</v>
      </c>
      <c r="B79" s="857" t="s">
        <v>3459</v>
      </c>
      <c r="C79" s="858"/>
      <c r="D79" s="639" t="s">
        <v>3460</v>
      </c>
      <c r="E79" s="639" t="s">
        <v>3461</v>
      </c>
      <c r="F79" s="857" t="s">
        <v>3462</v>
      </c>
      <c r="G79" s="859"/>
      <c r="H79" s="859"/>
      <c r="I79" s="858"/>
      <c r="J79" s="857" t="s">
        <v>3463</v>
      </c>
      <c r="K79" s="858"/>
      <c r="L79" s="857" t="s">
        <v>3461</v>
      </c>
      <c r="M79" s="859"/>
      <c r="N79" s="858"/>
      <c r="O79" s="639" t="s">
        <v>3462</v>
      </c>
      <c r="P79" s="639" t="s">
        <v>3463</v>
      </c>
      <c r="Q79" s="639" t="s">
        <v>3464</v>
      </c>
      <c r="R79" s="857" t="s">
        <v>895</v>
      </c>
      <c r="S79" s="858"/>
      <c r="T79" s="569"/>
    </row>
    <row r="80" spans="1:20" ht="11.85" customHeight="1">
      <c r="A80" s="571" t="s">
        <v>3465</v>
      </c>
      <c r="B80" s="978" t="s">
        <v>3466</v>
      </c>
      <c r="C80" s="980"/>
      <c r="D80" s="650" t="s">
        <v>3467</v>
      </c>
      <c r="E80" s="650" t="s">
        <v>3468</v>
      </c>
      <c r="F80" s="978" t="s">
        <v>1174</v>
      </c>
      <c r="G80" s="979"/>
      <c r="H80" s="979"/>
      <c r="I80" s="980"/>
      <c r="J80" s="978" t="s">
        <v>3469</v>
      </c>
      <c r="K80" s="980"/>
      <c r="L80" s="978" t="s">
        <v>3470</v>
      </c>
      <c r="M80" s="979"/>
      <c r="N80" s="980"/>
      <c r="O80" s="650" t="s">
        <v>1235</v>
      </c>
      <c r="P80" s="650" t="s">
        <v>3471</v>
      </c>
      <c r="Q80" s="650" t="s">
        <v>1304</v>
      </c>
      <c r="R80" s="978" t="s">
        <v>895</v>
      </c>
      <c r="S80" s="980"/>
      <c r="T80" s="569"/>
    </row>
    <row r="81" spans="1:20" ht="11.85" customHeight="1">
      <c r="A81" s="647" t="s">
        <v>3472</v>
      </c>
      <c r="B81" s="972" t="s">
        <v>895</v>
      </c>
      <c r="C81" s="974"/>
      <c r="D81" s="649" t="s">
        <v>895</v>
      </c>
      <c r="E81" s="649" t="s">
        <v>895</v>
      </c>
      <c r="F81" s="972" t="s">
        <v>895</v>
      </c>
      <c r="G81" s="973"/>
      <c r="H81" s="973"/>
      <c r="I81" s="974"/>
      <c r="J81" s="972" t="s">
        <v>895</v>
      </c>
      <c r="K81" s="974"/>
      <c r="L81" s="972" t="s">
        <v>895</v>
      </c>
      <c r="M81" s="973"/>
      <c r="N81" s="974"/>
      <c r="O81" s="649" t="s">
        <v>895</v>
      </c>
      <c r="P81" s="649" t="s">
        <v>895</v>
      </c>
      <c r="Q81" s="649" t="s">
        <v>895</v>
      </c>
      <c r="R81" s="972" t="s">
        <v>895</v>
      </c>
      <c r="S81" s="974"/>
      <c r="T81" s="569"/>
    </row>
    <row r="82" spans="1:20" ht="11.1" customHeight="1">
      <c r="A82" s="646" t="s">
        <v>3473</v>
      </c>
      <c r="B82" s="851" t="s">
        <v>895</v>
      </c>
      <c r="C82" s="852"/>
      <c r="D82" s="638" t="s">
        <v>895</v>
      </c>
      <c r="E82" s="638" t="s">
        <v>895</v>
      </c>
      <c r="F82" s="851" t="s">
        <v>895</v>
      </c>
      <c r="G82" s="853"/>
      <c r="H82" s="853"/>
      <c r="I82" s="852"/>
      <c r="J82" s="851" t="s">
        <v>895</v>
      </c>
      <c r="K82" s="852"/>
      <c r="L82" s="851" t="s">
        <v>895</v>
      </c>
      <c r="M82" s="853"/>
      <c r="N82" s="852"/>
      <c r="O82" s="638" t="s">
        <v>895</v>
      </c>
      <c r="P82" s="638" t="s">
        <v>895</v>
      </c>
      <c r="Q82" s="638" t="s">
        <v>895</v>
      </c>
      <c r="R82" s="851" t="s">
        <v>895</v>
      </c>
      <c r="S82" s="852"/>
      <c r="T82" s="569"/>
    </row>
    <row r="83" spans="1:20" ht="11.85" customHeight="1">
      <c r="A83" s="644" t="s">
        <v>3474</v>
      </c>
      <c r="B83" s="857" t="s">
        <v>895</v>
      </c>
      <c r="C83" s="858"/>
      <c r="D83" s="639" t="s">
        <v>895</v>
      </c>
      <c r="E83" s="639" t="s">
        <v>895</v>
      </c>
      <c r="F83" s="857" t="s">
        <v>895</v>
      </c>
      <c r="G83" s="859"/>
      <c r="H83" s="859"/>
      <c r="I83" s="858"/>
      <c r="J83" s="857" t="s">
        <v>895</v>
      </c>
      <c r="K83" s="858"/>
      <c r="L83" s="857" t="s">
        <v>895</v>
      </c>
      <c r="M83" s="859"/>
      <c r="N83" s="858"/>
      <c r="O83" s="639" t="s">
        <v>895</v>
      </c>
      <c r="P83" s="639" t="s">
        <v>895</v>
      </c>
      <c r="Q83" s="639" t="s">
        <v>895</v>
      </c>
      <c r="R83" s="857" t="s">
        <v>895</v>
      </c>
      <c r="S83" s="858"/>
      <c r="T83" s="569"/>
    </row>
    <row r="84" spans="1:20" ht="11.85" customHeight="1">
      <c r="A84" s="571" t="s">
        <v>3475</v>
      </c>
      <c r="B84" s="978" t="s">
        <v>3466</v>
      </c>
      <c r="C84" s="980"/>
      <c r="D84" s="650" t="s">
        <v>3467</v>
      </c>
      <c r="E84" s="650" t="s">
        <v>3468</v>
      </c>
      <c r="F84" s="978" t="s">
        <v>1174</v>
      </c>
      <c r="G84" s="979"/>
      <c r="H84" s="979"/>
      <c r="I84" s="980"/>
      <c r="J84" s="978" t="s">
        <v>3469</v>
      </c>
      <c r="K84" s="980"/>
      <c r="L84" s="978" t="s">
        <v>3470</v>
      </c>
      <c r="M84" s="979"/>
      <c r="N84" s="980"/>
      <c r="O84" s="650" t="s">
        <v>1235</v>
      </c>
      <c r="P84" s="650" t="s">
        <v>3471</v>
      </c>
      <c r="Q84" s="650" t="s">
        <v>1304</v>
      </c>
      <c r="R84" s="978" t="s">
        <v>895</v>
      </c>
      <c r="S84" s="980"/>
      <c r="T84" s="569"/>
    </row>
    <row r="85" spans="1:20" ht="11.85" customHeight="1">
      <c r="A85" s="571" t="s">
        <v>3476</v>
      </c>
      <c r="B85" s="978" t="s">
        <v>895</v>
      </c>
      <c r="C85" s="980"/>
      <c r="D85" s="650" t="s">
        <v>895</v>
      </c>
      <c r="E85" s="650" t="s">
        <v>895</v>
      </c>
      <c r="F85" s="978" t="s">
        <v>3477</v>
      </c>
      <c r="G85" s="979"/>
      <c r="H85" s="979"/>
      <c r="I85" s="980"/>
      <c r="J85" s="978" t="s">
        <v>895</v>
      </c>
      <c r="K85" s="980"/>
      <c r="L85" s="978" t="s">
        <v>895</v>
      </c>
      <c r="M85" s="979"/>
      <c r="N85" s="980"/>
      <c r="O85" s="650" t="s">
        <v>3478</v>
      </c>
      <c r="P85" s="650" t="s">
        <v>895</v>
      </c>
      <c r="Q85" s="650" t="s">
        <v>3479</v>
      </c>
      <c r="R85" s="978" t="s">
        <v>895</v>
      </c>
      <c r="S85" s="980"/>
      <c r="T85" s="569"/>
    </row>
    <row r="86" spans="1:20" ht="11.1" customHeight="1">
      <c r="A86" s="1241" t="s">
        <v>3480</v>
      </c>
      <c r="B86" s="1242" t="s">
        <v>3466</v>
      </c>
      <c r="C86" s="1243"/>
      <c r="D86" s="1248" t="s">
        <v>3467</v>
      </c>
      <c r="E86" s="1248" t="s">
        <v>3468</v>
      </c>
      <c r="F86" s="1242" t="s">
        <v>1172</v>
      </c>
      <c r="G86" s="1249"/>
      <c r="H86" s="1249"/>
      <c r="I86" s="1243"/>
      <c r="J86" s="1242" t="s">
        <v>895</v>
      </c>
      <c r="K86" s="1243"/>
      <c r="L86" s="1242" t="s">
        <v>3470</v>
      </c>
      <c r="M86" s="1249"/>
      <c r="N86" s="1243"/>
      <c r="O86" s="1248" t="s">
        <v>1172</v>
      </c>
      <c r="P86" s="1248" t="s">
        <v>3471</v>
      </c>
      <c r="Q86" s="1248" t="s">
        <v>1172</v>
      </c>
      <c r="R86" s="1242" t="s">
        <v>895</v>
      </c>
      <c r="S86" s="1243"/>
      <c r="T86" s="569"/>
    </row>
    <row r="87" spans="1:20" ht="11.85" customHeight="1">
      <c r="A87" s="571" t="s">
        <v>3481</v>
      </c>
      <c r="B87" s="978" t="s">
        <v>1919</v>
      </c>
      <c r="C87" s="980"/>
      <c r="D87" s="650" t="s">
        <v>1919</v>
      </c>
      <c r="E87" s="650" t="s">
        <v>895</v>
      </c>
      <c r="F87" s="978" t="s">
        <v>895</v>
      </c>
      <c r="G87" s="979"/>
      <c r="H87" s="979"/>
      <c r="I87" s="980"/>
      <c r="J87" s="978" t="s">
        <v>1919</v>
      </c>
      <c r="K87" s="980"/>
      <c r="L87" s="978" t="s">
        <v>895</v>
      </c>
      <c r="M87" s="979"/>
      <c r="N87" s="980"/>
      <c r="O87" s="650" t="s">
        <v>895</v>
      </c>
      <c r="P87" s="650" t="s">
        <v>1919</v>
      </c>
      <c r="Q87" s="650" t="s">
        <v>895</v>
      </c>
      <c r="R87" s="978" t="s">
        <v>895</v>
      </c>
      <c r="S87" s="980"/>
      <c r="T87" s="569"/>
    </row>
    <row r="88" spans="1:20" ht="11.85" customHeight="1">
      <c r="A88" s="861"/>
      <c r="B88" s="1250"/>
      <c r="C88" s="1250"/>
      <c r="D88" s="1250"/>
      <c r="E88" s="1250"/>
      <c r="F88" s="1250"/>
      <c r="G88" s="1250"/>
      <c r="H88" s="1250"/>
      <c r="I88" s="1250"/>
      <c r="J88" s="1250"/>
      <c r="K88" s="1250"/>
      <c r="L88" s="1250"/>
      <c r="M88" s="1250"/>
      <c r="N88" s="1250"/>
      <c r="O88" s="1250"/>
      <c r="P88" s="1250"/>
      <c r="Q88" s="1250"/>
      <c r="R88" s="1250"/>
      <c r="S88" s="1250"/>
      <c r="T88" s="861"/>
    </row>
    <row r="90" spans="1:20" ht="11.85" customHeight="1">
      <c r="A90" s="916" t="s">
        <v>3393</v>
      </c>
      <c r="B90" s="916"/>
      <c r="C90" s="916"/>
      <c r="D90" s="916"/>
      <c r="E90" s="916"/>
      <c r="F90" s="916"/>
      <c r="G90" s="916"/>
      <c r="H90" s="916"/>
      <c r="I90" s="916"/>
      <c r="J90" s="916"/>
      <c r="K90" s="916"/>
      <c r="L90" s="916"/>
      <c r="M90" s="916"/>
      <c r="N90" s="916"/>
      <c r="O90" s="916"/>
      <c r="P90" s="916"/>
      <c r="Q90" s="916"/>
      <c r="R90" s="916"/>
      <c r="S90" s="916"/>
    </row>
    <row r="91" spans="1:20" ht="5.85" customHeight="1"/>
    <row r="92" spans="1:20" ht="11.85" customHeight="1">
      <c r="A92" s="861" t="s">
        <v>1405</v>
      </c>
      <c r="B92" s="861"/>
      <c r="S92" s="645" t="s">
        <v>3482</v>
      </c>
    </row>
    <row r="93" spans="1:20" ht="11.1" customHeight="1">
      <c r="A93" s="861" t="s">
        <v>882</v>
      </c>
      <c r="B93" s="861"/>
    </row>
    <row r="94" spans="1:20" ht="11.85" customHeight="1">
      <c r="A94" s="863" t="s">
        <v>3205</v>
      </c>
      <c r="B94" s="863"/>
    </row>
    <row r="95" spans="1:20" ht="11.85" customHeight="1">
      <c r="A95" s="861" t="s">
        <v>1310</v>
      </c>
      <c r="B95" s="861"/>
    </row>
    <row r="96" spans="1:20" ht="11.85" customHeight="1">
      <c r="A96" s="861" t="s">
        <v>885</v>
      </c>
      <c r="B96" s="861"/>
    </row>
    <row r="97" spans="1:20" ht="5.85" customHeight="1"/>
    <row r="98" spans="1:20" ht="11.1" customHeight="1">
      <c r="A98" s="958" t="s">
        <v>3206</v>
      </c>
      <c r="B98" s="958"/>
      <c r="C98" s="958"/>
      <c r="D98" s="958"/>
      <c r="E98" s="958"/>
      <c r="F98" s="958"/>
      <c r="G98" s="958"/>
      <c r="H98" s="502"/>
      <c r="I98" s="502"/>
      <c r="J98" s="502"/>
      <c r="K98" s="502"/>
      <c r="L98" s="502"/>
      <c r="M98" s="502"/>
      <c r="N98" s="502"/>
      <c r="Q98" s="1233" t="s">
        <v>1312</v>
      </c>
      <c r="R98" s="1233"/>
      <c r="S98" s="1233"/>
    </row>
    <row r="99" spans="1:20" ht="11.85" customHeight="1">
      <c r="A99" s="1234" t="s">
        <v>3483</v>
      </c>
      <c r="B99" s="959" t="s">
        <v>2525</v>
      </c>
      <c r="C99" s="1235"/>
      <c r="D99" s="959" t="s">
        <v>1950</v>
      </c>
      <c r="E99" s="875" t="s">
        <v>2480</v>
      </c>
      <c r="F99" s="876"/>
      <c r="G99" s="876"/>
      <c r="H99" s="876"/>
      <c r="I99" s="876"/>
      <c r="J99" s="876"/>
      <c r="K99" s="877"/>
      <c r="L99" s="959" t="s">
        <v>3207</v>
      </c>
      <c r="M99" s="1251"/>
      <c r="N99" s="1235"/>
      <c r="O99" s="513"/>
    </row>
    <row r="100" spans="1:20" ht="17.850000000000001" customHeight="1">
      <c r="A100" s="1236"/>
      <c r="B100" s="1237"/>
      <c r="C100" s="1238"/>
      <c r="D100" s="1239"/>
      <c r="E100" s="648" t="s">
        <v>3208</v>
      </c>
      <c r="F100" s="648" t="s">
        <v>3209</v>
      </c>
      <c r="G100" s="959" t="s">
        <v>3210</v>
      </c>
      <c r="H100" s="960"/>
      <c r="I100" s="960"/>
      <c r="J100" s="961"/>
      <c r="K100" s="648" t="s">
        <v>3211</v>
      </c>
      <c r="L100" s="1237"/>
      <c r="M100" s="1252"/>
      <c r="N100" s="1238"/>
      <c r="O100" s="513"/>
    </row>
    <row r="101" spans="1:20" ht="11.1" customHeight="1">
      <c r="A101" s="647" t="s">
        <v>3379</v>
      </c>
      <c r="B101" s="866" t="s">
        <v>3380</v>
      </c>
      <c r="C101" s="868"/>
      <c r="D101" s="642" t="s">
        <v>3380</v>
      </c>
      <c r="E101" s="642" t="s">
        <v>3381</v>
      </c>
      <c r="F101" s="642" t="s">
        <v>3382</v>
      </c>
      <c r="G101" s="866" t="s">
        <v>3383</v>
      </c>
      <c r="H101" s="867"/>
      <c r="I101" s="867"/>
      <c r="J101" s="868"/>
      <c r="K101" s="642" t="s">
        <v>895</v>
      </c>
      <c r="L101" s="866" t="s">
        <v>3385</v>
      </c>
      <c r="M101" s="867"/>
      <c r="N101" s="868"/>
      <c r="O101" s="1253"/>
      <c r="P101" s="861"/>
      <c r="Q101" s="861"/>
      <c r="R101" s="861"/>
      <c r="S101" s="861"/>
      <c r="T101" s="861"/>
    </row>
    <row r="102" spans="1:20" ht="11.85" customHeight="1">
      <c r="A102" s="646" t="s">
        <v>3484</v>
      </c>
      <c r="B102" s="871" t="s">
        <v>3485</v>
      </c>
      <c r="C102" s="873"/>
      <c r="D102" s="641" t="s">
        <v>3485</v>
      </c>
      <c r="E102" s="641" t="s">
        <v>3381</v>
      </c>
      <c r="F102" s="641" t="s">
        <v>3486</v>
      </c>
      <c r="G102" s="871" t="s">
        <v>3487</v>
      </c>
      <c r="H102" s="872"/>
      <c r="I102" s="872"/>
      <c r="J102" s="873"/>
      <c r="K102" s="641" t="s">
        <v>895</v>
      </c>
      <c r="L102" s="871" t="s">
        <v>3488</v>
      </c>
      <c r="M102" s="872"/>
      <c r="N102" s="873"/>
      <c r="O102" s="1253"/>
      <c r="P102" s="861"/>
      <c r="Q102" s="861"/>
      <c r="R102" s="861"/>
      <c r="S102" s="861"/>
      <c r="T102" s="861"/>
    </row>
    <row r="103" spans="1:20" ht="11.85" customHeight="1">
      <c r="A103" s="646" t="s">
        <v>1528</v>
      </c>
      <c r="B103" s="871" t="s">
        <v>3489</v>
      </c>
      <c r="C103" s="873"/>
      <c r="D103" s="641" t="s">
        <v>3489</v>
      </c>
      <c r="E103" s="641" t="s">
        <v>3490</v>
      </c>
      <c r="F103" s="641" t="s">
        <v>3491</v>
      </c>
      <c r="G103" s="871" t="s">
        <v>3492</v>
      </c>
      <c r="H103" s="872"/>
      <c r="I103" s="872"/>
      <c r="J103" s="873"/>
      <c r="K103" s="641" t="s">
        <v>895</v>
      </c>
      <c r="L103" s="871" t="s">
        <v>3493</v>
      </c>
      <c r="M103" s="872"/>
      <c r="N103" s="873"/>
      <c r="O103" s="1253"/>
      <c r="P103" s="861"/>
      <c r="Q103" s="861"/>
      <c r="R103" s="861"/>
      <c r="S103" s="861"/>
      <c r="T103" s="861"/>
    </row>
    <row r="104" spans="1:20" ht="11.85" customHeight="1">
      <c r="A104" s="646" t="s">
        <v>3250</v>
      </c>
      <c r="B104" s="871" t="s">
        <v>3489</v>
      </c>
      <c r="C104" s="873"/>
      <c r="D104" s="641" t="s">
        <v>3489</v>
      </c>
      <c r="E104" s="641" t="s">
        <v>3490</v>
      </c>
      <c r="F104" s="641" t="s">
        <v>3491</v>
      </c>
      <c r="G104" s="871" t="s">
        <v>3492</v>
      </c>
      <c r="H104" s="872"/>
      <c r="I104" s="872"/>
      <c r="J104" s="873"/>
      <c r="K104" s="641" t="s">
        <v>895</v>
      </c>
      <c r="L104" s="871" t="s">
        <v>3493</v>
      </c>
      <c r="M104" s="872"/>
      <c r="N104" s="873"/>
      <c r="O104" s="1253"/>
      <c r="P104" s="861"/>
      <c r="Q104" s="861"/>
      <c r="R104" s="861"/>
      <c r="S104" s="861"/>
      <c r="T104" s="861"/>
    </row>
    <row r="105" spans="1:20" ht="11.1" customHeight="1">
      <c r="A105" s="646" t="s">
        <v>1742</v>
      </c>
      <c r="B105" s="871" t="s">
        <v>1877</v>
      </c>
      <c r="C105" s="873"/>
      <c r="D105" s="641" t="s">
        <v>1877</v>
      </c>
      <c r="E105" s="641" t="s">
        <v>3494</v>
      </c>
      <c r="F105" s="641" t="s">
        <v>3495</v>
      </c>
      <c r="G105" s="871" t="s">
        <v>1878</v>
      </c>
      <c r="H105" s="872"/>
      <c r="I105" s="872"/>
      <c r="J105" s="873"/>
      <c r="K105" s="641" t="s">
        <v>895</v>
      </c>
      <c r="L105" s="871" t="s">
        <v>3496</v>
      </c>
      <c r="M105" s="872"/>
      <c r="N105" s="873"/>
      <c r="O105" s="1253"/>
      <c r="P105" s="861"/>
      <c r="Q105" s="861"/>
      <c r="R105" s="861"/>
      <c r="S105" s="861"/>
      <c r="T105" s="861"/>
    </row>
    <row r="106" spans="1:20" ht="11.85" customHeight="1">
      <c r="A106" s="646" t="s">
        <v>1879</v>
      </c>
      <c r="B106" s="871" t="s">
        <v>1877</v>
      </c>
      <c r="C106" s="873"/>
      <c r="D106" s="641" t="s">
        <v>1877</v>
      </c>
      <c r="E106" s="641" t="s">
        <v>3494</v>
      </c>
      <c r="F106" s="641" t="s">
        <v>3495</v>
      </c>
      <c r="G106" s="871" t="s">
        <v>1878</v>
      </c>
      <c r="H106" s="872"/>
      <c r="I106" s="872"/>
      <c r="J106" s="873"/>
      <c r="K106" s="641" t="s">
        <v>895</v>
      </c>
      <c r="L106" s="871" t="s">
        <v>3496</v>
      </c>
      <c r="M106" s="872"/>
      <c r="N106" s="873"/>
      <c r="O106" s="1253"/>
      <c r="P106" s="861"/>
      <c r="Q106" s="861"/>
      <c r="R106" s="861"/>
      <c r="S106" s="861"/>
      <c r="T106" s="861"/>
    </row>
    <row r="107" spans="1:20" ht="11.85" customHeight="1">
      <c r="A107" s="646" t="s">
        <v>3377</v>
      </c>
      <c r="B107" s="871" t="s">
        <v>3497</v>
      </c>
      <c r="C107" s="873"/>
      <c r="D107" s="641" t="s">
        <v>3497</v>
      </c>
      <c r="E107" s="641" t="s">
        <v>895</v>
      </c>
      <c r="F107" s="641" t="s">
        <v>895</v>
      </c>
      <c r="G107" s="871" t="s">
        <v>3498</v>
      </c>
      <c r="H107" s="872"/>
      <c r="I107" s="872"/>
      <c r="J107" s="873"/>
      <c r="K107" s="641" t="s">
        <v>895</v>
      </c>
      <c r="L107" s="871" t="s">
        <v>3499</v>
      </c>
      <c r="M107" s="872"/>
      <c r="N107" s="873"/>
      <c r="O107" s="1253"/>
      <c r="P107" s="861"/>
      <c r="Q107" s="861"/>
      <c r="R107" s="861"/>
      <c r="S107" s="861"/>
      <c r="T107" s="861"/>
    </row>
    <row r="108" spans="1:20" ht="11.85" customHeight="1">
      <c r="A108" s="644" t="s">
        <v>1883</v>
      </c>
      <c r="B108" s="897" t="s">
        <v>3497</v>
      </c>
      <c r="C108" s="899"/>
      <c r="D108" s="640" t="s">
        <v>3497</v>
      </c>
      <c r="E108" s="640" t="s">
        <v>895</v>
      </c>
      <c r="F108" s="640" t="s">
        <v>895</v>
      </c>
      <c r="G108" s="897" t="s">
        <v>3498</v>
      </c>
      <c r="H108" s="898"/>
      <c r="I108" s="898"/>
      <c r="J108" s="899"/>
      <c r="K108" s="640" t="s">
        <v>895</v>
      </c>
      <c r="L108" s="897" t="s">
        <v>3499</v>
      </c>
      <c r="M108" s="898"/>
      <c r="N108" s="899"/>
      <c r="O108" s="1253"/>
      <c r="P108" s="861"/>
      <c r="Q108" s="861"/>
      <c r="R108" s="861"/>
      <c r="S108" s="861"/>
      <c r="T108" s="861"/>
    </row>
    <row r="109" spans="1:20" ht="11.1" customHeight="1">
      <c r="A109" s="520"/>
      <c r="B109" s="520"/>
      <c r="C109" s="520"/>
      <c r="D109" s="520"/>
      <c r="E109" s="520"/>
      <c r="F109" s="520"/>
      <c r="G109" s="520"/>
      <c r="H109" s="520"/>
      <c r="I109" s="520"/>
      <c r="J109" s="520"/>
      <c r="K109" s="520"/>
      <c r="L109" s="520"/>
      <c r="M109" s="520"/>
      <c r="N109" s="520"/>
      <c r="O109" s="502"/>
      <c r="P109" s="502"/>
      <c r="Q109" s="502"/>
      <c r="R109" s="502"/>
      <c r="S109" s="502"/>
    </row>
    <row r="110" spans="1:20" ht="11.85" customHeight="1">
      <c r="A110" s="1234" t="s">
        <v>3500</v>
      </c>
      <c r="B110" s="959" t="s">
        <v>3403</v>
      </c>
      <c r="C110" s="1235"/>
      <c r="D110" s="959" t="s">
        <v>3404</v>
      </c>
      <c r="E110" s="875" t="s">
        <v>2579</v>
      </c>
      <c r="F110" s="876"/>
      <c r="G110" s="876"/>
      <c r="H110" s="876"/>
      <c r="I110" s="877"/>
      <c r="J110" s="959" t="s">
        <v>3405</v>
      </c>
      <c r="K110" s="1235"/>
      <c r="L110" s="875" t="s">
        <v>2580</v>
      </c>
      <c r="M110" s="876"/>
      <c r="N110" s="876"/>
      <c r="O110" s="877"/>
      <c r="P110" s="959" t="s">
        <v>3406</v>
      </c>
      <c r="Q110" s="959" t="s">
        <v>3407</v>
      </c>
      <c r="R110" s="959" t="s">
        <v>3408</v>
      </c>
      <c r="S110" s="1235"/>
      <c r="T110" s="513"/>
    </row>
    <row r="111" spans="1:20" ht="17.850000000000001" customHeight="1">
      <c r="A111" s="1236"/>
      <c r="B111" s="1237"/>
      <c r="C111" s="1238"/>
      <c r="D111" s="1239"/>
      <c r="E111" s="648" t="s">
        <v>1319</v>
      </c>
      <c r="F111" s="959" t="s">
        <v>3409</v>
      </c>
      <c r="G111" s="960"/>
      <c r="H111" s="960"/>
      <c r="I111" s="961"/>
      <c r="J111" s="1237"/>
      <c r="K111" s="1238"/>
      <c r="L111" s="959" t="s">
        <v>1319</v>
      </c>
      <c r="M111" s="960"/>
      <c r="N111" s="961"/>
      <c r="O111" s="648" t="s">
        <v>3410</v>
      </c>
      <c r="P111" s="1239"/>
      <c r="Q111" s="1239"/>
      <c r="R111" s="1237"/>
      <c r="S111" s="1238"/>
      <c r="T111" s="513"/>
    </row>
    <row r="112" spans="1:20" ht="11.85" customHeight="1">
      <c r="A112" s="647" t="s">
        <v>3458</v>
      </c>
      <c r="B112" s="972" t="s">
        <v>3459</v>
      </c>
      <c r="C112" s="974"/>
      <c r="D112" s="642" t="s">
        <v>3460</v>
      </c>
      <c r="E112" s="642" t="s">
        <v>3461</v>
      </c>
      <c r="F112" s="866" t="s">
        <v>3462</v>
      </c>
      <c r="G112" s="867"/>
      <c r="H112" s="867"/>
      <c r="I112" s="868"/>
      <c r="J112" s="866" t="s">
        <v>3463</v>
      </c>
      <c r="K112" s="868"/>
      <c r="L112" s="866" t="s">
        <v>3461</v>
      </c>
      <c r="M112" s="867"/>
      <c r="N112" s="868"/>
      <c r="O112" s="642" t="s">
        <v>3462</v>
      </c>
      <c r="P112" s="642" t="s">
        <v>3463</v>
      </c>
      <c r="Q112" s="642" t="s">
        <v>3464</v>
      </c>
      <c r="R112" s="866" t="s">
        <v>895</v>
      </c>
      <c r="S112" s="868"/>
      <c r="T112" s="569"/>
    </row>
    <row r="113" spans="1:20" ht="11.1" customHeight="1">
      <c r="A113" s="646" t="s">
        <v>3421</v>
      </c>
      <c r="B113" s="851" t="s">
        <v>3501</v>
      </c>
      <c r="C113" s="852"/>
      <c r="D113" s="641" t="s">
        <v>3502</v>
      </c>
      <c r="E113" s="641" t="s">
        <v>3461</v>
      </c>
      <c r="F113" s="871" t="s">
        <v>3462</v>
      </c>
      <c r="G113" s="872"/>
      <c r="H113" s="872"/>
      <c r="I113" s="873"/>
      <c r="J113" s="871" t="s">
        <v>3503</v>
      </c>
      <c r="K113" s="873"/>
      <c r="L113" s="871" t="s">
        <v>3461</v>
      </c>
      <c r="M113" s="872"/>
      <c r="N113" s="873"/>
      <c r="O113" s="641" t="s">
        <v>3462</v>
      </c>
      <c r="P113" s="641" t="s">
        <v>3503</v>
      </c>
      <c r="Q113" s="641" t="s">
        <v>3464</v>
      </c>
      <c r="R113" s="871" t="s">
        <v>895</v>
      </c>
      <c r="S113" s="873"/>
      <c r="T113" s="569"/>
    </row>
    <row r="114" spans="1:20" ht="11.85" customHeight="1">
      <c r="A114" s="646" t="s">
        <v>3427</v>
      </c>
      <c r="B114" s="851" t="s">
        <v>3504</v>
      </c>
      <c r="C114" s="852"/>
      <c r="D114" s="641" t="s">
        <v>3505</v>
      </c>
      <c r="E114" s="641" t="s">
        <v>3506</v>
      </c>
      <c r="F114" s="871" t="s">
        <v>3507</v>
      </c>
      <c r="G114" s="872"/>
      <c r="H114" s="872"/>
      <c r="I114" s="873"/>
      <c r="J114" s="871" t="s">
        <v>3508</v>
      </c>
      <c r="K114" s="873"/>
      <c r="L114" s="871" t="s">
        <v>3506</v>
      </c>
      <c r="M114" s="872"/>
      <c r="N114" s="873"/>
      <c r="O114" s="641" t="s">
        <v>3507</v>
      </c>
      <c r="P114" s="641" t="s">
        <v>3508</v>
      </c>
      <c r="Q114" s="641" t="s">
        <v>3509</v>
      </c>
      <c r="R114" s="871" t="s">
        <v>895</v>
      </c>
      <c r="S114" s="873"/>
      <c r="T114" s="569"/>
    </row>
    <row r="115" spans="1:20" ht="11.85" customHeight="1">
      <c r="A115" s="646" t="s">
        <v>3433</v>
      </c>
      <c r="B115" s="851">
        <v>2</v>
      </c>
      <c r="C115" s="852"/>
      <c r="D115" s="641" t="s">
        <v>3510</v>
      </c>
      <c r="E115" s="641" t="s">
        <v>895</v>
      </c>
      <c r="F115" s="871" t="s">
        <v>895</v>
      </c>
      <c r="G115" s="872"/>
      <c r="H115" s="872"/>
      <c r="I115" s="873"/>
      <c r="J115" s="871" t="s">
        <v>3510</v>
      </c>
      <c r="K115" s="873"/>
      <c r="L115" s="871" t="s">
        <v>895</v>
      </c>
      <c r="M115" s="872"/>
      <c r="N115" s="873"/>
      <c r="O115" s="641" t="s">
        <v>895</v>
      </c>
      <c r="P115" s="641" t="s">
        <v>3510</v>
      </c>
      <c r="Q115" s="641" t="s">
        <v>895</v>
      </c>
      <c r="R115" s="871" t="s">
        <v>895</v>
      </c>
      <c r="S115" s="873"/>
      <c r="T115" s="569"/>
    </row>
    <row r="116" spans="1:20" ht="11.85" customHeight="1">
      <c r="A116" s="646" t="s">
        <v>3438</v>
      </c>
      <c r="B116" s="851" t="s">
        <v>3511</v>
      </c>
      <c r="C116" s="852"/>
      <c r="D116" s="641" t="s">
        <v>3512</v>
      </c>
      <c r="E116" s="641" t="s">
        <v>3513</v>
      </c>
      <c r="F116" s="871" t="s">
        <v>3514</v>
      </c>
      <c r="G116" s="872"/>
      <c r="H116" s="872"/>
      <c r="I116" s="873"/>
      <c r="J116" s="871" t="s">
        <v>3515</v>
      </c>
      <c r="K116" s="873"/>
      <c r="L116" s="871" t="s">
        <v>3513</v>
      </c>
      <c r="M116" s="872"/>
      <c r="N116" s="873"/>
      <c r="O116" s="641" t="s">
        <v>3514</v>
      </c>
      <c r="P116" s="641" t="s">
        <v>3515</v>
      </c>
      <c r="Q116" s="641" t="s">
        <v>3516</v>
      </c>
      <c r="R116" s="871" t="s">
        <v>895</v>
      </c>
      <c r="S116" s="873"/>
      <c r="T116" s="569"/>
    </row>
    <row r="117" spans="1:20" ht="11.1" customHeight="1">
      <c r="A117" s="646" t="s">
        <v>2489</v>
      </c>
      <c r="B117" s="851">
        <v>44</v>
      </c>
      <c r="C117" s="852"/>
      <c r="D117" s="641" t="s">
        <v>3517</v>
      </c>
      <c r="E117" s="641" t="s">
        <v>895</v>
      </c>
      <c r="F117" s="871" t="s">
        <v>895</v>
      </c>
      <c r="G117" s="872"/>
      <c r="H117" s="872"/>
      <c r="I117" s="873"/>
      <c r="J117" s="871" t="s">
        <v>3517</v>
      </c>
      <c r="K117" s="873"/>
      <c r="L117" s="871" t="s">
        <v>895</v>
      </c>
      <c r="M117" s="872"/>
      <c r="N117" s="873"/>
      <c r="O117" s="641" t="s">
        <v>895</v>
      </c>
      <c r="P117" s="641" t="s">
        <v>3517</v>
      </c>
      <c r="Q117" s="641" t="s">
        <v>895</v>
      </c>
      <c r="R117" s="871" t="s">
        <v>895</v>
      </c>
      <c r="S117" s="873"/>
      <c r="T117" s="569"/>
    </row>
    <row r="118" spans="1:20" ht="11.85" customHeight="1">
      <c r="A118" s="644" t="s">
        <v>3454</v>
      </c>
      <c r="B118" s="857">
        <v>44</v>
      </c>
      <c r="C118" s="858"/>
      <c r="D118" s="640" t="s">
        <v>3517</v>
      </c>
      <c r="E118" s="640" t="s">
        <v>895</v>
      </c>
      <c r="F118" s="897" t="s">
        <v>895</v>
      </c>
      <c r="G118" s="898"/>
      <c r="H118" s="898"/>
      <c r="I118" s="899"/>
      <c r="J118" s="897" t="s">
        <v>3517</v>
      </c>
      <c r="K118" s="899"/>
      <c r="L118" s="897" t="s">
        <v>895</v>
      </c>
      <c r="M118" s="898"/>
      <c r="N118" s="899"/>
      <c r="O118" s="640" t="s">
        <v>895</v>
      </c>
      <c r="P118" s="640" t="s">
        <v>3517</v>
      </c>
      <c r="Q118" s="640" t="s">
        <v>895</v>
      </c>
      <c r="R118" s="897" t="s">
        <v>895</v>
      </c>
      <c r="S118" s="899"/>
      <c r="T118" s="569"/>
    </row>
    <row r="119" spans="1:20" ht="11.85" customHeight="1">
      <c r="A119" s="1240" t="s">
        <v>3518</v>
      </c>
      <c r="B119" s="1240"/>
      <c r="C119" s="1240"/>
      <c r="D119" s="1240"/>
      <c r="E119" s="1240"/>
      <c r="F119" s="1240"/>
      <c r="G119" s="1240"/>
      <c r="H119" s="1240"/>
      <c r="I119" s="1240"/>
      <c r="J119" s="1240"/>
      <c r="K119" s="1240"/>
      <c r="L119" s="1240"/>
      <c r="M119" s="1240"/>
      <c r="N119" s="511"/>
      <c r="O119" s="511"/>
      <c r="P119" s="511"/>
      <c r="Q119" s="511"/>
      <c r="R119" s="511"/>
      <c r="S119" s="511"/>
    </row>
    <row r="120" spans="1:20" ht="5.85" customHeight="1"/>
    <row r="121" spans="1:20" ht="11.1" customHeight="1"/>
    <row r="122" spans="1:20" ht="5.85" customHeight="1"/>
    <row r="123" spans="1:20" ht="17.850000000000001" customHeight="1"/>
    <row r="124" spans="1:20">
      <c r="A124" s="55" t="s">
        <v>103</v>
      </c>
      <c r="D124" s="55" t="s">
        <v>104</v>
      </c>
      <c r="K124" s="58" t="s">
        <v>105</v>
      </c>
    </row>
    <row r="125" spans="1:20">
      <c r="A125" s="55" t="s">
        <v>106</v>
      </c>
      <c r="D125" s="55" t="s">
        <v>107</v>
      </c>
      <c r="K125" s="58" t="s">
        <v>108</v>
      </c>
    </row>
    <row r="126" spans="1:20" ht="11.85" customHeight="1">
      <c r="A126" s="916" t="s">
        <v>3393</v>
      </c>
      <c r="B126" s="916"/>
      <c r="C126" s="916"/>
      <c r="D126" s="916"/>
      <c r="E126" s="916"/>
      <c r="F126" s="916"/>
      <c r="G126" s="916"/>
      <c r="H126" s="916"/>
      <c r="I126" s="916"/>
      <c r="J126" s="916"/>
      <c r="K126" s="916"/>
      <c r="L126" s="916"/>
      <c r="M126" s="916"/>
      <c r="N126" s="916"/>
      <c r="O126" s="916"/>
      <c r="P126" s="916"/>
      <c r="Q126" s="916"/>
      <c r="R126" s="916"/>
      <c r="S126" s="916"/>
    </row>
    <row r="127" spans="1:20" ht="5.85" customHeight="1"/>
  </sheetData>
  <mergeCells count="412">
    <mergeCell ref="A119:M119"/>
    <mergeCell ref="A126:S126"/>
    <mergeCell ref="B117:C117"/>
    <mergeCell ref="F117:I117"/>
    <mergeCell ref="J117:K117"/>
    <mergeCell ref="L117:N117"/>
    <mergeCell ref="R117:S117"/>
    <mergeCell ref="B118:C118"/>
    <mergeCell ref="F118:I118"/>
    <mergeCell ref="J118:K118"/>
    <mergeCell ref="L118:N118"/>
    <mergeCell ref="R118:S118"/>
    <mergeCell ref="B115:C115"/>
    <mergeCell ref="F115:I115"/>
    <mergeCell ref="J115:K115"/>
    <mergeCell ref="L115:N115"/>
    <mergeCell ref="R115:S115"/>
    <mergeCell ref="B116:C116"/>
    <mergeCell ref="F116:I116"/>
    <mergeCell ref="J116:K116"/>
    <mergeCell ref="L116:N116"/>
    <mergeCell ref="R116:S116"/>
    <mergeCell ref="B113:C113"/>
    <mergeCell ref="F113:I113"/>
    <mergeCell ref="J113:K113"/>
    <mergeCell ref="L113:N113"/>
    <mergeCell ref="R113:S113"/>
    <mergeCell ref="B114:C114"/>
    <mergeCell ref="F114:I114"/>
    <mergeCell ref="J114:K114"/>
    <mergeCell ref="L114:N114"/>
    <mergeCell ref="R114:S114"/>
    <mergeCell ref="P110:P111"/>
    <mergeCell ref="Q110:Q111"/>
    <mergeCell ref="R110:S111"/>
    <mergeCell ref="F111:I111"/>
    <mergeCell ref="L111:N111"/>
    <mergeCell ref="B112:C112"/>
    <mergeCell ref="F112:I112"/>
    <mergeCell ref="J112:K112"/>
    <mergeCell ref="L112:N112"/>
    <mergeCell ref="R112:S112"/>
    <mergeCell ref="A110:A111"/>
    <mergeCell ref="B110:C111"/>
    <mergeCell ref="D110:D111"/>
    <mergeCell ref="E110:I110"/>
    <mergeCell ref="J110:K111"/>
    <mergeCell ref="L110:O110"/>
    <mergeCell ref="B107:C107"/>
    <mergeCell ref="G107:J107"/>
    <mergeCell ref="L107:N107"/>
    <mergeCell ref="O107:T107"/>
    <mergeCell ref="B108:C108"/>
    <mergeCell ref="G108:J108"/>
    <mergeCell ref="L108:N108"/>
    <mergeCell ref="O108:T108"/>
    <mergeCell ref="B105:C105"/>
    <mergeCell ref="G105:J105"/>
    <mergeCell ref="L105:N105"/>
    <mergeCell ref="O105:T105"/>
    <mergeCell ref="B106:C106"/>
    <mergeCell ref="G106:J106"/>
    <mergeCell ref="L106:N106"/>
    <mergeCell ref="O106:T106"/>
    <mergeCell ref="B103:C103"/>
    <mergeCell ref="G103:J103"/>
    <mergeCell ref="L103:N103"/>
    <mergeCell ref="O103:T103"/>
    <mergeCell ref="B104:C104"/>
    <mergeCell ref="G104:J104"/>
    <mergeCell ref="L104:N104"/>
    <mergeCell ref="O104:T104"/>
    <mergeCell ref="B101:C101"/>
    <mergeCell ref="G101:J101"/>
    <mergeCell ref="L101:N101"/>
    <mergeCell ref="O101:T101"/>
    <mergeCell ref="B102:C102"/>
    <mergeCell ref="G102:J102"/>
    <mergeCell ref="L102:N102"/>
    <mergeCell ref="O102:T102"/>
    <mergeCell ref="A96:B96"/>
    <mergeCell ref="A98:G98"/>
    <mergeCell ref="Q98:S98"/>
    <mergeCell ref="A99:A100"/>
    <mergeCell ref="B99:C100"/>
    <mergeCell ref="D99:D100"/>
    <mergeCell ref="E99:K99"/>
    <mergeCell ref="L99:N100"/>
    <mergeCell ref="G100:J100"/>
    <mergeCell ref="A88:T88"/>
    <mergeCell ref="A90:S90"/>
    <mergeCell ref="A92:B92"/>
    <mergeCell ref="A93:B93"/>
    <mergeCell ref="A94:B94"/>
    <mergeCell ref="A95:B95"/>
    <mergeCell ref="B86:C86"/>
    <mergeCell ref="F86:I86"/>
    <mergeCell ref="J86:K86"/>
    <mergeCell ref="L86:N86"/>
    <mergeCell ref="R86:S86"/>
    <mergeCell ref="B87:C87"/>
    <mergeCell ref="F87:I87"/>
    <mergeCell ref="J87:K87"/>
    <mergeCell ref="L87:N87"/>
    <mergeCell ref="R87:S87"/>
    <mergeCell ref="B84:C84"/>
    <mergeCell ref="F84:I84"/>
    <mergeCell ref="J84:K84"/>
    <mergeCell ref="L84:N84"/>
    <mergeCell ref="R84:S84"/>
    <mergeCell ref="B85:C85"/>
    <mergeCell ref="F85:I85"/>
    <mergeCell ref="J85:K85"/>
    <mergeCell ref="L85:N85"/>
    <mergeCell ref="R85:S85"/>
    <mergeCell ref="B82:C82"/>
    <mergeCell ref="F82:I82"/>
    <mergeCell ref="J82:K82"/>
    <mergeCell ref="L82:N82"/>
    <mergeCell ref="R82:S82"/>
    <mergeCell ref="B83:C83"/>
    <mergeCell ref="F83:I83"/>
    <mergeCell ref="J83:K83"/>
    <mergeCell ref="L83:N83"/>
    <mergeCell ref="R83:S83"/>
    <mergeCell ref="B80:C80"/>
    <mergeCell ref="F80:I80"/>
    <mergeCell ref="J80:K80"/>
    <mergeCell ref="L80:N80"/>
    <mergeCell ref="R80:S80"/>
    <mergeCell ref="B81:C81"/>
    <mergeCell ref="F81:I81"/>
    <mergeCell ref="J81:K81"/>
    <mergeCell ref="L81:N81"/>
    <mergeCell ref="R81:S81"/>
    <mergeCell ref="B78:C78"/>
    <mergeCell ref="F78:I78"/>
    <mergeCell ref="J78:K78"/>
    <mergeCell ref="L78:N78"/>
    <mergeCell ref="R78:S78"/>
    <mergeCell ref="B79:C79"/>
    <mergeCell ref="F79:I79"/>
    <mergeCell ref="J79:K79"/>
    <mergeCell ref="L79:N79"/>
    <mergeCell ref="R79:S79"/>
    <mergeCell ref="B76:C76"/>
    <mergeCell ref="F76:I76"/>
    <mergeCell ref="J76:K76"/>
    <mergeCell ref="L76:N76"/>
    <mergeCell ref="R76:S76"/>
    <mergeCell ref="B77:C77"/>
    <mergeCell ref="F77:I77"/>
    <mergeCell ref="J77:K77"/>
    <mergeCell ref="L77:N77"/>
    <mergeCell ref="R77:S77"/>
    <mergeCell ref="B74:C74"/>
    <mergeCell ref="F74:I74"/>
    <mergeCell ref="J74:K74"/>
    <mergeCell ref="L74:N74"/>
    <mergeCell ref="R74:S74"/>
    <mergeCell ref="B75:C75"/>
    <mergeCell ref="F75:I75"/>
    <mergeCell ref="J75:K75"/>
    <mergeCell ref="L75:N75"/>
    <mergeCell ref="R75:S75"/>
    <mergeCell ref="B72:C72"/>
    <mergeCell ref="F72:I72"/>
    <mergeCell ref="J72:K72"/>
    <mergeCell ref="L72:N72"/>
    <mergeCell ref="R72:S72"/>
    <mergeCell ref="B73:C73"/>
    <mergeCell ref="F73:I73"/>
    <mergeCell ref="J73:K73"/>
    <mergeCell ref="L73:N73"/>
    <mergeCell ref="R73:S73"/>
    <mergeCell ref="B70:C70"/>
    <mergeCell ref="F70:I70"/>
    <mergeCell ref="J70:K70"/>
    <mergeCell ref="L70:N70"/>
    <mergeCell ref="R70:S70"/>
    <mergeCell ref="B71:C71"/>
    <mergeCell ref="F71:I71"/>
    <mergeCell ref="J71:K71"/>
    <mergeCell ref="L71:N71"/>
    <mergeCell ref="R71:S71"/>
    <mergeCell ref="P67:P68"/>
    <mergeCell ref="Q67:Q68"/>
    <mergeCell ref="R67:S68"/>
    <mergeCell ref="F68:I68"/>
    <mergeCell ref="L68:N68"/>
    <mergeCell ref="B69:C69"/>
    <mergeCell ref="F69:I69"/>
    <mergeCell ref="J69:K69"/>
    <mergeCell ref="L69:N69"/>
    <mergeCell ref="R69:S69"/>
    <mergeCell ref="A67:A68"/>
    <mergeCell ref="B67:C68"/>
    <mergeCell ref="D67:D68"/>
    <mergeCell ref="E67:I67"/>
    <mergeCell ref="J67:K68"/>
    <mergeCell ref="L67:O67"/>
    <mergeCell ref="B64:C64"/>
    <mergeCell ref="F64:H64"/>
    <mergeCell ref="I64:L64"/>
    <mergeCell ref="M64:N64"/>
    <mergeCell ref="B65:C65"/>
    <mergeCell ref="F65:H65"/>
    <mergeCell ref="I65:L65"/>
    <mergeCell ref="M65:N65"/>
    <mergeCell ref="B62:C62"/>
    <mergeCell ref="F62:H62"/>
    <mergeCell ref="I62:L62"/>
    <mergeCell ref="M62:N62"/>
    <mergeCell ref="B63:C63"/>
    <mergeCell ref="F63:H63"/>
    <mergeCell ref="I63:L63"/>
    <mergeCell ref="M63:N63"/>
    <mergeCell ref="B60:C60"/>
    <mergeCell ref="F60:H60"/>
    <mergeCell ref="I60:L60"/>
    <mergeCell ref="M60:N60"/>
    <mergeCell ref="B61:C61"/>
    <mergeCell ref="F61:H61"/>
    <mergeCell ref="I61:L61"/>
    <mergeCell ref="M61:N61"/>
    <mergeCell ref="B58:C58"/>
    <mergeCell ref="F58:H58"/>
    <mergeCell ref="I58:L58"/>
    <mergeCell ref="M58:N58"/>
    <mergeCell ref="B59:C59"/>
    <mergeCell ref="F59:H59"/>
    <mergeCell ref="I59:L59"/>
    <mergeCell ref="M59:N59"/>
    <mergeCell ref="A56:A57"/>
    <mergeCell ref="B56:C57"/>
    <mergeCell ref="D56:D57"/>
    <mergeCell ref="E56:N56"/>
    <mergeCell ref="O56:O57"/>
    <mergeCell ref="F57:H57"/>
    <mergeCell ref="I57:L57"/>
    <mergeCell ref="M57:N57"/>
    <mergeCell ref="A50:B50"/>
    <mergeCell ref="A51:B51"/>
    <mergeCell ref="A52:B52"/>
    <mergeCell ref="A53:B53"/>
    <mergeCell ref="A55:G55"/>
    <mergeCell ref="Q55:S55"/>
    <mergeCell ref="B46:C46"/>
    <mergeCell ref="F46:H46"/>
    <mergeCell ref="I46:L46"/>
    <mergeCell ref="M46:N46"/>
    <mergeCell ref="A47:S47"/>
    <mergeCell ref="A49:B49"/>
    <mergeCell ref="B44:C44"/>
    <mergeCell ref="F44:H44"/>
    <mergeCell ref="I44:L44"/>
    <mergeCell ref="M44:N44"/>
    <mergeCell ref="B45:C45"/>
    <mergeCell ref="F45:H45"/>
    <mergeCell ref="I45:L45"/>
    <mergeCell ref="M45:N45"/>
    <mergeCell ref="B42:C42"/>
    <mergeCell ref="F42:H42"/>
    <mergeCell ref="I42:L42"/>
    <mergeCell ref="M42:N42"/>
    <mergeCell ref="B43:C43"/>
    <mergeCell ref="F43:H43"/>
    <mergeCell ref="I43:L43"/>
    <mergeCell ref="M43:N43"/>
    <mergeCell ref="B40:C40"/>
    <mergeCell ref="F40:H40"/>
    <mergeCell ref="I40:L40"/>
    <mergeCell ref="M40:N40"/>
    <mergeCell ref="B41:C41"/>
    <mergeCell ref="F41:H41"/>
    <mergeCell ref="I41:L41"/>
    <mergeCell ref="M41:N41"/>
    <mergeCell ref="B38:C38"/>
    <mergeCell ref="F38:H38"/>
    <mergeCell ref="I38:L38"/>
    <mergeCell ref="M38:N38"/>
    <mergeCell ref="B39:C39"/>
    <mergeCell ref="F39:H39"/>
    <mergeCell ref="I39:L39"/>
    <mergeCell ref="M39:N39"/>
    <mergeCell ref="B36:C36"/>
    <mergeCell ref="F36:H36"/>
    <mergeCell ref="I36:L36"/>
    <mergeCell ref="M36:N36"/>
    <mergeCell ref="B37:C37"/>
    <mergeCell ref="F37:H37"/>
    <mergeCell ref="I37:L37"/>
    <mergeCell ref="M37:N37"/>
    <mergeCell ref="B34:C34"/>
    <mergeCell ref="F34:H34"/>
    <mergeCell ref="I34:L34"/>
    <mergeCell ref="M34:N34"/>
    <mergeCell ref="B35:C35"/>
    <mergeCell ref="F35:H35"/>
    <mergeCell ref="I35:L35"/>
    <mergeCell ref="M35:N35"/>
    <mergeCell ref="B32:C32"/>
    <mergeCell ref="F32:H32"/>
    <mergeCell ref="I32:L32"/>
    <mergeCell ref="M32:N32"/>
    <mergeCell ref="B33:C33"/>
    <mergeCell ref="F33:H33"/>
    <mergeCell ref="I33:L33"/>
    <mergeCell ref="M33:N33"/>
    <mergeCell ref="B30:C30"/>
    <mergeCell ref="F30:H30"/>
    <mergeCell ref="I30:L30"/>
    <mergeCell ref="M30:N30"/>
    <mergeCell ref="B31:C31"/>
    <mergeCell ref="F31:H31"/>
    <mergeCell ref="I31:L31"/>
    <mergeCell ref="M31:N31"/>
    <mergeCell ref="B28:C28"/>
    <mergeCell ref="F28:H28"/>
    <mergeCell ref="I28:L28"/>
    <mergeCell ref="M28:N28"/>
    <mergeCell ref="B29:C29"/>
    <mergeCell ref="F29:H29"/>
    <mergeCell ref="I29:L29"/>
    <mergeCell ref="M29:N29"/>
    <mergeCell ref="B26:C26"/>
    <mergeCell ref="F26:H26"/>
    <mergeCell ref="I26:L26"/>
    <mergeCell ref="M26:N26"/>
    <mergeCell ref="B27:C27"/>
    <mergeCell ref="F27:H27"/>
    <mergeCell ref="I27:L27"/>
    <mergeCell ref="M27:N27"/>
    <mergeCell ref="B24:C24"/>
    <mergeCell ref="F24:H24"/>
    <mergeCell ref="I24:L24"/>
    <mergeCell ref="M24:N24"/>
    <mergeCell ref="B25:C25"/>
    <mergeCell ref="F25:H25"/>
    <mergeCell ref="I25:L25"/>
    <mergeCell ref="M25:N25"/>
    <mergeCell ref="B22:C22"/>
    <mergeCell ref="F22:H22"/>
    <mergeCell ref="I22:L22"/>
    <mergeCell ref="M22:N22"/>
    <mergeCell ref="B23:C23"/>
    <mergeCell ref="F23:H23"/>
    <mergeCell ref="I23:L23"/>
    <mergeCell ref="M23:N23"/>
    <mergeCell ref="B20:C20"/>
    <mergeCell ref="F20:H20"/>
    <mergeCell ref="I20:L20"/>
    <mergeCell ref="M20:N20"/>
    <mergeCell ref="B21:C21"/>
    <mergeCell ref="F21:H21"/>
    <mergeCell ref="I21:L21"/>
    <mergeCell ref="M21:N21"/>
    <mergeCell ref="B18:C18"/>
    <mergeCell ref="F18:H18"/>
    <mergeCell ref="I18:L18"/>
    <mergeCell ref="M18:N18"/>
    <mergeCell ref="B19:C19"/>
    <mergeCell ref="F19:H19"/>
    <mergeCell ref="I19:L19"/>
    <mergeCell ref="M19:N19"/>
    <mergeCell ref="B16:C16"/>
    <mergeCell ref="F16:H16"/>
    <mergeCell ref="I16:L16"/>
    <mergeCell ref="M16:N16"/>
    <mergeCell ref="B17:C17"/>
    <mergeCell ref="F17:H17"/>
    <mergeCell ref="I17:L17"/>
    <mergeCell ref="M17:N17"/>
    <mergeCell ref="B14:C14"/>
    <mergeCell ref="F14:H14"/>
    <mergeCell ref="I14:L14"/>
    <mergeCell ref="M14:N14"/>
    <mergeCell ref="B15:C15"/>
    <mergeCell ref="F15:H15"/>
    <mergeCell ref="I15:L15"/>
    <mergeCell ref="M15:N15"/>
    <mergeCell ref="B12:C12"/>
    <mergeCell ref="F12:H12"/>
    <mergeCell ref="I12:L12"/>
    <mergeCell ref="M12:N12"/>
    <mergeCell ref="B13:C13"/>
    <mergeCell ref="F13:H13"/>
    <mergeCell ref="I13:L13"/>
    <mergeCell ref="M13:N13"/>
    <mergeCell ref="B10:C10"/>
    <mergeCell ref="F10:H10"/>
    <mergeCell ref="I10:L10"/>
    <mergeCell ref="M10:N10"/>
    <mergeCell ref="B11:C11"/>
    <mergeCell ref="F11:H11"/>
    <mergeCell ref="I11:L11"/>
    <mergeCell ref="M11:N11"/>
    <mergeCell ref="Q7:S7"/>
    <mergeCell ref="A8:A9"/>
    <mergeCell ref="B8:C9"/>
    <mergeCell ref="D8:D9"/>
    <mergeCell ref="E8:N8"/>
    <mergeCell ref="O8:O9"/>
    <mergeCell ref="F9:H9"/>
    <mergeCell ref="I9:L9"/>
    <mergeCell ref="M9:N9"/>
    <mergeCell ref="A1:B1"/>
    <mergeCell ref="A2:B2"/>
    <mergeCell ref="A3:B3"/>
    <mergeCell ref="A4:B4"/>
    <mergeCell ref="A5:B5"/>
    <mergeCell ref="A7:G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L91"/>
  <sheetViews>
    <sheetView workbookViewId="0">
      <selection sqref="A1:XFD1048576"/>
    </sheetView>
  </sheetViews>
  <sheetFormatPr defaultRowHeight="15"/>
  <cols>
    <col min="4" max="5" width="12.7109375" customWidth="1"/>
    <col min="6" max="6" width="10.7109375" customWidth="1"/>
    <col min="7" max="9" width="12.7109375" customWidth="1"/>
    <col min="10" max="11" width="11.7109375" customWidth="1"/>
    <col min="12" max="12" width="13.7109375" customWidth="1"/>
  </cols>
  <sheetData>
    <row r="1" spans="1:12">
      <c r="A1" s="382" t="s">
        <v>522</v>
      </c>
    </row>
    <row r="2" spans="1:12">
      <c r="A2" s="382" t="s">
        <v>966</v>
      </c>
    </row>
    <row r="4" spans="1:12">
      <c r="A4" s="382" t="s">
        <v>523</v>
      </c>
      <c r="C4" s="473" t="s">
        <v>524</v>
      </c>
    </row>
    <row r="6" spans="1:12">
      <c r="D6" s="725" t="s">
        <v>525</v>
      </c>
      <c r="E6" s="725" t="s">
        <v>526</v>
      </c>
      <c r="F6" s="725" t="s">
        <v>527</v>
      </c>
      <c r="G6" s="725" t="s">
        <v>528</v>
      </c>
      <c r="H6" s="725" t="s">
        <v>772</v>
      </c>
      <c r="I6" s="725" t="s">
        <v>773</v>
      </c>
      <c r="J6" s="725" t="s">
        <v>774</v>
      </c>
      <c r="K6" s="725" t="s">
        <v>532</v>
      </c>
      <c r="L6" s="725" t="s">
        <v>533</v>
      </c>
    </row>
    <row r="7" spans="1:12">
      <c r="A7" s="383" t="s">
        <v>534</v>
      </c>
      <c r="D7" s="726"/>
      <c r="E7" s="726"/>
      <c r="F7" s="726"/>
      <c r="G7" s="726"/>
      <c r="H7" s="726"/>
      <c r="I7" s="726"/>
      <c r="J7" s="726"/>
      <c r="K7" s="726"/>
      <c r="L7" s="726"/>
    </row>
    <row r="8" spans="1:12">
      <c r="A8" s="384">
        <v>1</v>
      </c>
      <c r="B8" s="723" t="s">
        <v>535</v>
      </c>
      <c r="C8" s="723"/>
      <c r="D8" s="384" t="s">
        <v>536</v>
      </c>
      <c r="E8" s="384" t="s">
        <v>967</v>
      </c>
      <c r="F8" s="384" t="s">
        <v>968</v>
      </c>
      <c r="G8" s="384" t="s">
        <v>969</v>
      </c>
      <c r="H8" s="384" t="s">
        <v>970</v>
      </c>
      <c r="I8" s="384" t="s">
        <v>775</v>
      </c>
      <c r="J8" s="384" t="s">
        <v>971</v>
      </c>
      <c r="K8" s="384" t="s">
        <v>968</v>
      </c>
      <c r="L8" s="384" t="s">
        <v>972</v>
      </c>
    </row>
    <row r="9" spans="1:12">
      <c r="A9" s="384">
        <v>20</v>
      </c>
      <c r="B9" s="723" t="s">
        <v>537</v>
      </c>
      <c r="C9" s="723"/>
      <c r="D9" s="384" t="s">
        <v>538</v>
      </c>
      <c r="E9" s="384" t="s">
        <v>973</v>
      </c>
      <c r="F9" s="384" t="s">
        <v>539</v>
      </c>
      <c r="G9" s="384" t="s">
        <v>974</v>
      </c>
      <c r="H9" s="384" t="s">
        <v>975</v>
      </c>
      <c r="I9" s="384" t="s">
        <v>776</v>
      </c>
      <c r="J9" s="384" t="s">
        <v>976</v>
      </c>
      <c r="K9" s="384" t="s">
        <v>539</v>
      </c>
      <c r="L9" s="384" t="s">
        <v>977</v>
      </c>
    </row>
    <row r="10" spans="1:12">
      <c r="A10" s="384">
        <v>30</v>
      </c>
      <c r="B10" s="723" t="s">
        <v>777</v>
      </c>
      <c r="C10" s="723"/>
      <c r="D10" s="384" t="s">
        <v>539</v>
      </c>
      <c r="E10" s="384" t="s">
        <v>539</v>
      </c>
      <c r="F10" s="384" t="s">
        <v>539</v>
      </c>
      <c r="G10" s="384" t="s">
        <v>539</v>
      </c>
      <c r="H10" s="384" t="s">
        <v>539</v>
      </c>
      <c r="I10" s="384" t="s">
        <v>778</v>
      </c>
      <c r="J10" s="384" t="s">
        <v>778</v>
      </c>
      <c r="K10" s="384" t="s">
        <v>539</v>
      </c>
      <c r="L10" s="384" t="s">
        <v>779</v>
      </c>
    </row>
    <row r="11" spans="1:12">
      <c r="A11" s="384">
        <v>31</v>
      </c>
      <c r="B11" s="723" t="s">
        <v>540</v>
      </c>
      <c r="C11" s="723"/>
      <c r="D11" s="384" t="s">
        <v>541</v>
      </c>
      <c r="E11" s="384" t="s">
        <v>978</v>
      </c>
      <c r="F11" s="384" t="s">
        <v>539</v>
      </c>
      <c r="G11" s="384" t="s">
        <v>979</v>
      </c>
      <c r="H11" s="384" t="s">
        <v>980</v>
      </c>
      <c r="I11" s="384" t="s">
        <v>780</v>
      </c>
      <c r="J11" s="384" t="s">
        <v>981</v>
      </c>
      <c r="K11" s="384" t="s">
        <v>539</v>
      </c>
      <c r="L11" s="384" t="s">
        <v>982</v>
      </c>
    </row>
    <row r="12" spans="1:12">
      <c r="A12" s="384">
        <v>40</v>
      </c>
      <c r="B12" s="723" t="s">
        <v>542</v>
      </c>
      <c r="C12" s="723"/>
      <c r="D12" s="384" t="s">
        <v>543</v>
      </c>
      <c r="E12" s="384" t="s">
        <v>983</v>
      </c>
      <c r="F12" s="384" t="s">
        <v>539</v>
      </c>
      <c r="G12" s="384" t="s">
        <v>984</v>
      </c>
      <c r="H12" s="384" t="s">
        <v>985</v>
      </c>
      <c r="I12" s="384" t="s">
        <v>781</v>
      </c>
      <c r="J12" s="384" t="s">
        <v>986</v>
      </c>
      <c r="K12" s="384" t="s">
        <v>539</v>
      </c>
      <c r="L12" s="384" t="s">
        <v>987</v>
      </c>
    </row>
    <row r="13" spans="1:12">
      <c r="A13" s="384">
        <v>50</v>
      </c>
      <c r="B13" s="723" t="s">
        <v>544</v>
      </c>
      <c r="C13" s="723"/>
      <c r="D13" s="384" t="s">
        <v>545</v>
      </c>
      <c r="E13" s="384" t="s">
        <v>988</v>
      </c>
      <c r="F13" s="384" t="s">
        <v>539</v>
      </c>
      <c r="G13" s="384" t="s">
        <v>989</v>
      </c>
      <c r="H13" s="384" t="s">
        <v>990</v>
      </c>
      <c r="I13" s="384" t="s">
        <v>782</v>
      </c>
      <c r="J13" s="384" t="s">
        <v>991</v>
      </c>
      <c r="K13" s="384" t="s">
        <v>539</v>
      </c>
      <c r="L13" s="384" t="s">
        <v>992</v>
      </c>
    </row>
    <row r="14" spans="1:12">
      <c r="A14" s="384">
        <v>900</v>
      </c>
      <c r="B14" s="723" t="s">
        <v>546</v>
      </c>
      <c r="C14" s="723"/>
      <c r="D14" s="384" t="s">
        <v>547</v>
      </c>
      <c r="E14" s="384" t="s">
        <v>539</v>
      </c>
      <c r="F14" s="384" t="s">
        <v>539</v>
      </c>
      <c r="G14" s="384" t="s">
        <v>547</v>
      </c>
      <c r="H14" s="384" t="s">
        <v>539</v>
      </c>
      <c r="I14" s="384" t="s">
        <v>539</v>
      </c>
      <c r="J14" s="384" t="s">
        <v>539</v>
      </c>
      <c r="K14" s="384" t="s">
        <v>539</v>
      </c>
      <c r="L14" s="384" t="s">
        <v>547</v>
      </c>
    </row>
    <row r="15" spans="1:12">
      <c r="A15" s="384">
        <v>1022</v>
      </c>
      <c r="B15" s="723" t="s">
        <v>548</v>
      </c>
      <c r="C15" s="723"/>
      <c r="D15" s="384" t="s">
        <v>549</v>
      </c>
      <c r="E15" s="384" t="s">
        <v>993</v>
      </c>
      <c r="F15" s="384" t="s">
        <v>539</v>
      </c>
      <c r="G15" s="384" t="s">
        <v>994</v>
      </c>
      <c r="H15" s="384" t="s">
        <v>783</v>
      </c>
      <c r="I15" s="384" t="s">
        <v>539</v>
      </c>
      <c r="J15" s="384" t="s">
        <v>783</v>
      </c>
      <c r="K15" s="384" t="s">
        <v>539</v>
      </c>
      <c r="L15" s="384" t="s">
        <v>995</v>
      </c>
    </row>
    <row r="16" spans="1:12">
      <c r="A16" s="384">
        <v>1023</v>
      </c>
      <c r="B16" s="723" t="s">
        <v>550</v>
      </c>
      <c r="C16" s="723"/>
      <c r="D16" s="384" t="s">
        <v>551</v>
      </c>
      <c r="E16" s="384" t="s">
        <v>996</v>
      </c>
      <c r="F16" s="384" t="s">
        <v>539</v>
      </c>
      <c r="G16" s="384" t="s">
        <v>997</v>
      </c>
      <c r="H16" s="384" t="s">
        <v>998</v>
      </c>
      <c r="I16" s="384" t="s">
        <v>784</v>
      </c>
      <c r="J16" s="384" t="s">
        <v>999</v>
      </c>
      <c r="K16" s="384" t="s">
        <v>539</v>
      </c>
      <c r="L16" s="384" t="s">
        <v>1000</v>
      </c>
    </row>
    <row r="17" spans="1:12">
      <c r="A17" s="384">
        <v>1024</v>
      </c>
      <c r="B17" s="723" t="s">
        <v>553</v>
      </c>
      <c r="C17" s="723"/>
      <c r="D17" s="384" t="s">
        <v>554</v>
      </c>
      <c r="E17" s="384" t="s">
        <v>1001</v>
      </c>
      <c r="F17" s="384" t="s">
        <v>539</v>
      </c>
      <c r="G17" s="384" t="s">
        <v>1002</v>
      </c>
      <c r="H17" s="384" t="s">
        <v>1003</v>
      </c>
      <c r="I17" s="384" t="s">
        <v>539</v>
      </c>
      <c r="J17" s="384" t="s">
        <v>1003</v>
      </c>
      <c r="K17" s="384" t="s">
        <v>539</v>
      </c>
      <c r="L17" s="384" t="s">
        <v>1004</v>
      </c>
    </row>
    <row r="18" spans="1:12">
      <c r="A18" s="384">
        <v>1025</v>
      </c>
      <c r="B18" s="723" t="s">
        <v>555</v>
      </c>
      <c r="C18" s="723"/>
      <c r="D18" s="384" t="s">
        <v>556</v>
      </c>
      <c r="E18" s="384" t="s">
        <v>1005</v>
      </c>
      <c r="F18" s="384" t="s">
        <v>539</v>
      </c>
      <c r="G18" s="384" t="s">
        <v>1006</v>
      </c>
      <c r="H18" s="384" t="s">
        <v>539</v>
      </c>
      <c r="I18" s="384" t="s">
        <v>539</v>
      </c>
      <c r="J18" s="384" t="s">
        <v>539</v>
      </c>
      <c r="K18" s="384" t="s">
        <v>539</v>
      </c>
      <c r="L18" s="384" t="s">
        <v>1006</v>
      </c>
    </row>
    <row r="19" spans="1:12">
      <c r="A19" s="384">
        <v>1026</v>
      </c>
      <c r="B19" s="723" t="s">
        <v>557</v>
      </c>
      <c r="C19" s="723"/>
      <c r="D19" s="384" t="s">
        <v>558</v>
      </c>
      <c r="E19" s="384" t="s">
        <v>1007</v>
      </c>
      <c r="F19" s="384" t="s">
        <v>539</v>
      </c>
      <c r="G19" s="384" t="s">
        <v>1008</v>
      </c>
      <c r="H19" s="384" t="s">
        <v>1009</v>
      </c>
      <c r="I19" s="384" t="s">
        <v>785</v>
      </c>
      <c r="J19" s="384" t="s">
        <v>1010</v>
      </c>
      <c r="K19" s="384" t="s">
        <v>539</v>
      </c>
      <c r="L19" s="384" t="s">
        <v>1011</v>
      </c>
    </row>
    <row r="20" spans="1:12">
      <c r="A20" s="384">
        <v>1031</v>
      </c>
      <c r="B20" s="723" t="s">
        <v>559</v>
      </c>
      <c r="C20" s="723"/>
      <c r="D20" s="384" t="s">
        <v>560</v>
      </c>
      <c r="E20" s="384" t="s">
        <v>1012</v>
      </c>
      <c r="F20" s="384" t="s">
        <v>539</v>
      </c>
      <c r="G20" s="384" t="s">
        <v>1013</v>
      </c>
      <c r="H20" s="384" t="s">
        <v>539</v>
      </c>
      <c r="I20" s="384" t="s">
        <v>539</v>
      </c>
      <c r="J20" s="384" t="s">
        <v>539</v>
      </c>
      <c r="K20" s="384" t="s">
        <v>539</v>
      </c>
      <c r="L20" s="384" t="s">
        <v>1013</v>
      </c>
    </row>
    <row r="21" spans="1:12">
      <c r="A21" s="384">
        <v>1101</v>
      </c>
      <c r="B21" s="723" t="s">
        <v>561</v>
      </c>
      <c r="C21" s="723"/>
      <c r="D21" s="384" t="s">
        <v>562</v>
      </c>
      <c r="E21" s="384" t="s">
        <v>1014</v>
      </c>
      <c r="F21" s="384" t="s">
        <v>539</v>
      </c>
      <c r="G21" s="384" t="s">
        <v>1015</v>
      </c>
      <c r="H21" s="384" t="s">
        <v>539</v>
      </c>
      <c r="I21" s="384" t="s">
        <v>539</v>
      </c>
      <c r="J21" s="384" t="s">
        <v>539</v>
      </c>
      <c r="K21" s="384" t="s">
        <v>539</v>
      </c>
      <c r="L21" s="384" t="s">
        <v>1015</v>
      </c>
    </row>
    <row r="22" spans="1:12">
      <c r="A22" s="384">
        <v>1103</v>
      </c>
      <c r="B22" s="723" t="s">
        <v>563</v>
      </c>
      <c r="C22" s="723"/>
      <c r="D22" s="384" t="s">
        <v>564</v>
      </c>
      <c r="E22" s="384" t="s">
        <v>1016</v>
      </c>
      <c r="F22" s="384" t="s">
        <v>539</v>
      </c>
      <c r="G22" s="384" t="s">
        <v>1017</v>
      </c>
      <c r="H22" s="384" t="s">
        <v>1018</v>
      </c>
      <c r="I22" s="384" t="s">
        <v>786</v>
      </c>
      <c r="J22" s="384" t="s">
        <v>1019</v>
      </c>
      <c r="K22" s="384" t="s">
        <v>539</v>
      </c>
      <c r="L22" s="384" t="s">
        <v>1020</v>
      </c>
    </row>
    <row r="23" spans="1:12">
      <c r="A23" s="384">
        <v>1104</v>
      </c>
      <c r="B23" s="723" t="s">
        <v>565</v>
      </c>
      <c r="C23" s="723"/>
      <c r="D23" s="384" t="s">
        <v>566</v>
      </c>
      <c r="E23" s="384" t="s">
        <v>859</v>
      </c>
      <c r="F23" s="384" t="s">
        <v>539</v>
      </c>
      <c r="G23" s="384" t="s">
        <v>860</v>
      </c>
      <c r="H23" s="384" t="s">
        <v>860</v>
      </c>
      <c r="I23" s="384" t="s">
        <v>539</v>
      </c>
      <c r="J23" s="384" t="s">
        <v>860</v>
      </c>
      <c r="K23" s="384" t="s">
        <v>539</v>
      </c>
      <c r="L23" s="384" t="s">
        <v>539</v>
      </c>
    </row>
    <row r="24" spans="1:12">
      <c r="A24" s="384">
        <v>1121</v>
      </c>
      <c r="B24" s="723" t="s">
        <v>567</v>
      </c>
      <c r="C24" s="723"/>
      <c r="D24" s="384" t="s">
        <v>568</v>
      </c>
      <c r="E24" s="384" t="s">
        <v>1021</v>
      </c>
      <c r="F24" s="384" t="s">
        <v>539</v>
      </c>
      <c r="G24" s="384" t="s">
        <v>1022</v>
      </c>
      <c r="H24" s="384" t="s">
        <v>1023</v>
      </c>
      <c r="I24" s="384" t="s">
        <v>787</v>
      </c>
      <c r="J24" s="384" t="s">
        <v>1024</v>
      </c>
      <c r="K24" s="384" t="s">
        <v>539</v>
      </c>
      <c r="L24" s="384" t="s">
        <v>1025</v>
      </c>
    </row>
    <row r="25" spans="1:12">
      <c r="A25" s="384">
        <v>1122</v>
      </c>
      <c r="B25" s="723" t="s">
        <v>569</v>
      </c>
      <c r="C25" s="723"/>
      <c r="D25" s="384" t="s">
        <v>570</v>
      </c>
      <c r="E25" s="384" t="s">
        <v>1026</v>
      </c>
      <c r="F25" s="384" t="s">
        <v>539</v>
      </c>
      <c r="G25" s="384" t="s">
        <v>1027</v>
      </c>
      <c r="H25" s="384" t="s">
        <v>539</v>
      </c>
      <c r="I25" s="384" t="s">
        <v>788</v>
      </c>
      <c r="J25" s="384" t="s">
        <v>788</v>
      </c>
      <c r="K25" s="384" t="s">
        <v>539</v>
      </c>
      <c r="L25" s="384" t="s">
        <v>1028</v>
      </c>
    </row>
    <row r="26" spans="1:12">
      <c r="A26" s="384">
        <v>1123</v>
      </c>
      <c r="B26" s="723" t="s">
        <v>571</v>
      </c>
      <c r="C26" s="723"/>
      <c r="D26" s="384" t="s">
        <v>572</v>
      </c>
      <c r="E26" s="384" t="s">
        <v>789</v>
      </c>
      <c r="F26" s="384" t="s">
        <v>539</v>
      </c>
      <c r="G26" s="384" t="s">
        <v>790</v>
      </c>
      <c r="H26" s="384" t="s">
        <v>790</v>
      </c>
      <c r="I26" s="384" t="s">
        <v>539</v>
      </c>
      <c r="J26" s="384" t="s">
        <v>790</v>
      </c>
      <c r="K26" s="384" t="s">
        <v>539</v>
      </c>
      <c r="L26" s="384" t="s">
        <v>539</v>
      </c>
    </row>
    <row r="27" spans="1:12">
      <c r="A27" s="384">
        <v>1124</v>
      </c>
      <c r="B27" s="723" t="s">
        <v>573</v>
      </c>
      <c r="C27" s="723"/>
      <c r="D27" s="384" t="s">
        <v>574</v>
      </c>
      <c r="E27" s="384" t="s">
        <v>1029</v>
      </c>
      <c r="F27" s="384" t="s">
        <v>539</v>
      </c>
      <c r="G27" s="384" t="s">
        <v>1030</v>
      </c>
      <c r="H27" s="384" t="s">
        <v>1031</v>
      </c>
      <c r="I27" s="384" t="s">
        <v>791</v>
      </c>
      <c r="J27" s="384" t="s">
        <v>1032</v>
      </c>
      <c r="K27" s="384" t="s">
        <v>539</v>
      </c>
      <c r="L27" s="384" t="s">
        <v>1033</v>
      </c>
    </row>
    <row r="28" spans="1:12">
      <c r="A28" s="384">
        <v>1180</v>
      </c>
      <c r="B28" s="723" t="s">
        <v>575</v>
      </c>
      <c r="C28" s="723"/>
      <c r="D28" s="384" t="s">
        <v>576</v>
      </c>
      <c r="E28" s="384" t="s">
        <v>539</v>
      </c>
      <c r="F28" s="384" t="s">
        <v>539</v>
      </c>
      <c r="G28" s="384" t="s">
        <v>576</v>
      </c>
      <c r="H28" s="384" t="s">
        <v>539</v>
      </c>
      <c r="I28" s="384" t="s">
        <v>539</v>
      </c>
      <c r="J28" s="384" t="s">
        <v>539</v>
      </c>
      <c r="K28" s="384" t="s">
        <v>539</v>
      </c>
      <c r="L28" s="384" t="s">
        <v>576</v>
      </c>
    </row>
    <row r="29" spans="1:12">
      <c r="A29" s="384">
        <v>1181</v>
      </c>
      <c r="B29" s="723" t="s">
        <v>577</v>
      </c>
      <c r="C29" s="723"/>
      <c r="D29" s="384" t="s">
        <v>578</v>
      </c>
      <c r="E29" s="384" t="s">
        <v>1034</v>
      </c>
      <c r="F29" s="384" t="s">
        <v>539</v>
      </c>
      <c r="G29" s="384" t="s">
        <v>1035</v>
      </c>
      <c r="H29" s="384" t="s">
        <v>539</v>
      </c>
      <c r="I29" s="384" t="s">
        <v>539</v>
      </c>
      <c r="J29" s="384" t="s">
        <v>539</v>
      </c>
      <c r="K29" s="384" t="s">
        <v>539</v>
      </c>
      <c r="L29" s="384" t="s">
        <v>1035</v>
      </c>
    </row>
    <row r="30" spans="1:12">
      <c r="A30" s="384">
        <v>1182</v>
      </c>
      <c r="B30" s="723" t="s">
        <v>579</v>
      </c>
      <c r="C30" s="723"/>
      <c r="D30" s="384" t="s">
        <v>580</v>
      </c>
      <c r="E30" s="384" t="s">
        <v>1036</v>
      </c>
      <c r="F30" s="384" t="s">
        <v>539</v>
      </c>
      <c r="G30" s="384" t="s">
        <v>1037</v>
      </c>
      <c r="H30" s="384" t="s">
        <v>581</v>
      </c>
      <c r="I30" s="384" t="s">
        <v>792</v>
      </c>
      <c r="J30" s="384" t="s">
        <v>793</v>
      </c>
      <c r="K30" s="384" t="s">
        <v>539</v>
      </c>
      <c r="L30" s="384" t="s">
        <v>1038</v>
      </c>
    </row>
    <row r="31" spans="1:12">
      <c r="A31" s="384">
        <v>1184</v>
      </c>
      <c r="B31" s="723" t="s">
        <v>584</v>
      </c>
      <c r="C31" s="723"/>
      <c r="D31" s="384" t="s">
        <v>585</v>
      </c>
      <c r="E31" s="384" t="s">
        <v>1039</v>
      </c>
      <c r="F31" s="384" t="s">
        <v>539</v>
      </c>
      <c r="G31" s="384" t="s">
        <v>1040</v>
      </c>
      <c r="H31" s="384" t="s">
        <v>1041</v>
      </c>
      <c r="I31" s="384" t="s">
        <v>794</v>
      </c>
      <c r="J31" s="384" t="s">
        <v>1042</v>
      </c>
      <c r="K31" s="384" t="s">
        <v>539</v>
      </c>
      <c r="L31" s="384" t="s">
        <v>1043</v>
      </c>
    </row>
    <row r="32" spans="1:12">
      <c r="A32" s="384">
        <v>1186</v>
      </c>
      <c r="B32" s="723" t="s">
        <v>587</v>
      </c>
      <c r="C32" s="723"/>
      <c r="D32" s="384" t="s">
        <v>588</v>
      </c>
      <c r="E32" s="384" t="s">
        <v>1044</v>
      </c>
      <c r="F32" s="384" t="s">
        <v>539</v>
      </c>
      <c r="G32" s="384" t="s">
        <v>1045</v>
      </c>
      <c r="H32" s="384" t="s">
        <v>539</v>
      </c>
      <c r="I32" s="384" t="s">
        <v>539</v>
      </c>
      <c r="J32" s="384" t="s">
        <v>539</v>
      </c>
      <c r="K32" s="384" t="s">
        <v>539</v>
      </c>
      <c r="L32" s="384" t="s">
        <v>1045</v>
      </c>
    </row>
    <row r="33" spans="1:12">
      <c r="A33" s="384">
        <v>1187</v>
      </c>
      <c r="B33" s="723" t="s">
        <v>589</v>
      </c>
      <c r="C33" s="723"/>
      <c r="D33" s="384" t="s">
        <v>590</v>
      </c>
      <c r="E33" s="384" t="s">
        <v>861</v>
      </c>
      <c r="F33" s="384" t="s">
        <v>539</v>
      </c>
      <c r="G33" s="384" t="s">
        <v>862</v>
      </c>
      <c r="H33" s="384" t="s">
        <v>539</v>
      </c>
      <c r="I33" s="384" t="s">
        <v>539</v>
      </c>
      <c r="J33" s="384" t="s">
        <v>539</v>
      </c>
      <c r="K33" s="384" t="s">
        <v>539</v>
      </c>
      <c r="L33" s="384" t="s">
        <v>862</v>
      </c>
    </row>
    <row r="34" spans="1:12">
      <c r="A34" s="384">
        <v>1188</v>
      </c>
      <c r="B34" s="723" t="s">
        <v>591</v>
      </c>
      <c r="C34" s="723"/>
      <c r="D34" s="384" t="s">
        <v>592</v>
      </c>
      <c r="E34" s="384" t="s">
        <v>1046</v>
      </c>
      <c r="F34" s="384" t="s">
        <v>539</v>
      </c>
      <c r="G34" s="384" t="s">
        <v>1047</v>
      </c>
      <c r="H34" s="384" t="s">
        <v>863</v>
      </c>
      <c r="I34" s="384" t="s">
        <v>795</v>
      </c>
      <c r="J34" s="384" t="s">
        <v>864</v>
      </c>
      <c r="K34" s="384" t="s">
        <v>539</v>
      </c>
      <c r="L34" s="384" t="s">
        <v>1048</v>
      </c>
    </row>
    <row r="35" spans="1:12">
      <c r="A35" s="384">
        <v>1190</v>
      </c>
      <c r="B35" s="723" t="s">
        <v>593</v>
      </c>
      <c r="C35" s="723"/>
      <c r="D35" s="384" t="s">
        <v>594</v>
      </c>
      <c r="E35" s="384" t="s">
        <v>1049</v>
      </c>
      <c r="F35" s="384" t="s">
        <v>539</v>
      </c>
      <c r="G35" s="384" t="s">
        <v>1050</v>
      </c>
      <c r="H35" s="384" t="s">
        <v>1051</v>
      </c>
      <c r="I35" s="384" t="s">
        <v>698</v>
      </c>
      <c r="J35" s="384" t="s">
        <v>1052</v>
      </c>
      <c r="K35" s="384" t="s">
        <v>539</v>
      </c>
      <c r="L35" s="384" t="s">
        <v>1053</v>
      </c>
    </row>
    <row r="36" spans="1:12">
      <c r="A36" s="384">
        <v>1500</v>
      </c>
      <c r="B36" s="723" t="s">
        <v>154</v>
      </c>
      <c r="C36" s="723"/>
      <c r="D36" s="384" t="s">
        <v>596</v>
      </c>
      <c r="E36" s="384" t="s">
        <v>1054</v>
      </c>
      <c r="F36" s="384" t="s">
        <v>539</v>
      </c>
      <c r="G36" s="384" t="s">
        <v>1055</v>
      </c>
      <c r="H36" s="384" t="s">
        <v>1056</v>
      </c>
      <c r="I36" s="384" t="s">
        <v>699</v>
      </c>
      <c r="J36" s="384" t="s">
        <v>1057</v>
      </c>
      <c r="K36" s="384" t="s">
        <v>539</v>
      </c>
      <c r="L36" s="384" t="s">
        <v>1058</v>
      </c>
    </row>
    <row r="37" spans="1:12">
      <c r="A37" s="384">
        <v>3812</v>
      </c>
      <c r="B37" s="723" t="s">
        <v>597</v>
      </c>
      <c r="C37" s="723"/>
      <c r="D37" s="384" t="s">
        <v>598</v>
      </c>
      <c r="E37" s="384" t="s">
        <v>1059</v>
      </c>
      <c r="F37" s="384" t="s">
        <v>539</v>
      </c>
      <c r="G37" s="384" t="s">
        <v>1060</v>
      </c>
      <c r="H37" s="384" t="s">
        <v>539</v>
      </c>
      <c r="I37" s="384" t="s">
        <v>796</v>
      </c>
      <c r="J37" s="384" t="s">
        <v>796</v>
      </c>
      <c r="K37" s="384" t="s">
        <v>539</v>
      </c>
      <c r="L37" s="384" t="s">
        <v>1061</v>
      </c>
    </row>
    <row r="38" spans="1:12">
      <c r="A38" s="384">
        <v>3813</v>
      </c>
      <c r="B38" s="723" t="s">
        <v>599</v>
      </c>
      <c r="C38" s="723"/>
      <c r="D38" s="384" t="s">
        <v>600</v>
      </c>
      <c r="E38" s="384" t="s">
        <v>1062</v>
      </c>
      <c r="F38" s="384" t="s">
        <v>539</v>
      </c>
      <c r="G38" s="384" t="s">
        <v>1063</v>
      </c>
      <c r="H38" s="384" t="s">
        <v>539</v>
      </c>
      <c r="I38" s="384" t="s">
        <v>539</v>
      </c>
      <c r="J38" s="384" t="s">
        <v>539</v>
      </c>
      <c r="K38" s="384" t="s">
        <v>539</v>
      </c>
      <c r="L38" s="384" t="s">
        <v>1063</v>
      </c>
    </row>
    <row r="39" spans="1:12">
      <c r="A39" s="384">
        <v>3814</v>
      </c>
      <c r="B39" s="723" t="s">
        <v>797</v>
      </c>
      <c r="C39" s="723"/>
      <c r="D39" s="384" t="s">
        <v>539</v>
      </c>
      <c r="E39" s="384" t="s">
        <v>539</v>
      </c>
      <c r="F39" s="384" t="s">
        <v>539</v>
      </c>
      <c r="G39" s="384" t="s">
        <v>539</v>
      </c>
      <c r="H39" s="384" t="s">
        <v>798</v>
      </c>
      <c r="I39" s="384" t="s">
        <v>539</v>
      </c>
      <c r="J39" s="384" t="s">
        <v>798</v>
      </c>
      <c r="K39" s="384" t="s">
        <v>539</v>
      </c>
      <c r="L39" s="384" t="s">
        <v>799</v>
      </c>
    </row>
    <row r="40" spans="1:12">
      <c r="A40" s="384">
        <v>3818</v>
      </c>
      <c r="B40" s="723" t="s">
        <v>601</v>
      </c>
      <c r="C40" s="723"/>
      <c r="D40" s="384" t="s">
        <v>602</v>
      </c>
      <c r="E40" s="384" t="s">
        <v>800</v>
      </c>
      <c r="F40" s="384" t="s">
        <v>539</v>
      </c>
      <c r="G40" s="384" t="s">
        <v>801</v>
      </c>
      <c r="H40" s="384" t="s">
        <v>801</v>
      </c>
      <c r="I40" s="384" t="s">
        <v>539</v>
      </c>
      <c r="J40" s="384" t="s">
        <v>801</v>
      </c>
      <c r="K40" s="384" t="s">
        <v>539</v>
      </c>
      <c r="L40" s="384" t="s">
        <v>539</v>
      </c>
    </row>
    <row r="41" spans="1:12">
      <c r="A41" s="384">
        <v>3819</v>
      </c>
      <c r="B41" s="723" t="s">
        <v>603</v>
      </c>
      <c r="C41" s="723"/>
      <c r="D41" s="384" t="s">
        <v>604</v>
      </c>
      <c r="E41" s="384" t="s">
        <v>1064</v>
      </c>
      <c r="F41" s="384" t="s">
        <v>539</v>
      </c>
      <c r="G41" s="384" t="s">
        <v>1065</v>
      </c>
      <c r="H41" s="384" t="s">
        <v>539</v>
      </c>
      <c r="I41" s="384" t="s">
        <v>802</v>
      </c>
      <c r="J41" s="384" t="s">
        <v>802</v>
      </c>
      <c r="K41" s="384" t="s">
        <v>539</v>
      </c>
      <c r="L41" s="384" t="s">
        <v>1066</v>
      </c>
    </row>
    <row r="42" spans="1:12">
      <c r="A42" s="384">
        <v>3821</v>
      </c>
      <c r="B42" s="723" t="s">
        <v>605</v>
      </c>
      <c r="C42" s="723"/>
      <c r="D42" s="384" t="s">
        <v>606</v>
      </c>
      <c r="E42" s="384" t="s">
        <v>1067</v>
      </c>
      <c r="F42" s="384" t="s">
        <v>539</v>
      </c>
      <c r="G42" s="384" t="s">
        <v>1068</v>
      </c>
      <c r="H42" s="384" t="s">
        <v>539</v>
      </c>
      <c r="I42" s="384" t="s">
        <v>539</v>
      </c>
      <c r="J42" s="384" t="s">
        <v>539</v>
      </c>
      <c r="K42" s="384" t="s">
        <v>539</v>
      </c>
      <c r="L42" s="384" t="s">
        <v>1068</v>
      </c>
    </row>
    <row r="43" spans="1:12">
      <c r="A43" s="384">
        <v>3822</v>
      </c>
      <c r="B43" s="723" t="s">
        <v>607</v>
      </c>
      <c r="C43" s="723"/>
      <c r="D43" s="384" t="s">
        <v>608</v>
      </c>
      <c r="E43" s="384" t="s">
        <v>1069</v>
      </c>
      <c r="F43" s="384" t="s">
        <v>539</v>
      </c>
      <c r="G43" s="384" t="s">
        <v>1070</v>
      </c>
      <c r="H43" s="384" t="s">
        <v>803</v>
      </c>
      <c r="I43" s="384" t="s">
        <v>804</v>
      </c>
      <c r="J43" s="384" t="s">
        <v>805</v>
      </c>
      <c r="K43" s="384" t="s">
        <v>539</v>
      </c>
      <c r="L43" s="384" t="s">
        <v>1071</v>
      </c>
    </row>
    <row r="44" spans="1:12">
      <c r="A44" s="384">
        <v>3826</v>
      </c>
      <c r="B44" s="723" t="s">
        <v>609</v>
      </c>
      <c r="C44" s="723"/>
      <c r="D44" s="384" t="s">
        <v>610</v>
      </c>
      <c r="E44" s="384" t="s">
        <v>611</v>
      </c>
      <c r="F44" s="384" t="s">
        <v>539</v>
      </c>
      <c r="G44" s="384" t="s">
        <v>612</v>
      </c>
      <c r="H44" s="384" t="s">
        <v>539</v>
      </c>
      <c r="I44" s="384" t="s">
        <v>539</v>
      </c>
      <c r="J44" s="384" t="s">
        <v>539</v>
      </c>
      <c r="K44" s="384" t="s">
        <v>539</v>
      </c>
      <c r="L44" s="384" t="s">
        <v>612</v>
      </c>
    </row>
    <row r="45" spans="1:12">
      <c r="A45" s="384">
        <v>3827</v>
      </c>
      <c r="B45" s="723" t="s">
        <v>613</v>
      </c>
      <c r="C45" s="723"/>
      <c r="D45" s="384" t="s">
        <v>614</v>
      </c>
      <c r="E45" s="384" t="s">
        <v>615</v>
      </c>
      <c r="F45" s="384" t="s">
        <v>539</v>
      </c>
      <c r="G45" s="384" t="s">
        <v>616</v>
      </c>
      <c r="H45" s="384" t="s">
        <v>617</v>
      </c>
      <c r="I45" s="384" t="s">
        <v>806</v>
      </c>
      <c r="J45" s="384" t="s">
        <v>807</v>
      </c>
      <c r="K45" s="384" t="s">
        <v>539</v>
      </c>
      <c r="L45" s="384" t="s">
        <v>808</v>
      </c>
    </row>
    <row r="46" spans="1:12">
      <c r="A46" s="384">
        <v>3829</v>
      </c>
      <c r="B46" s="723" t="s">
        <v>809</v>
      </c>
      <c r="C46" s="723"/>
      <c r="D46" s="384" t="s">
        <v>539</v>
      </c>
      <c r="E46" s="384" t="s">
        <v>539</v>
      </c>
      <c r="F46" s="384" t="s">
        <v>539</v>
      </c>
      <c r="G46" s="384" t="s">
        <v>539</v>
      </c>
      <c r="H46" s="384" t="s">
        <v>539</v>
      </c>
      <c r="I46" s="384" t="s">
        <v>810</v>
      </c>
      <c r="J46" s="384" t="s">
        <v>810</v>
      </c>
      <c r="K46" s="384" t="s">
        <v>539</v>
      </c>
      <c r="L46" s="384" t="s">
        <v>811</v>
      </c>
    </row>
    <row r="47" spans="1:12">
      <c r="A47" s="384">
        <v>3831</v>
      </c>
      <c r="B47" s="723" t="s">
        <v>619</v>
      </c>
      <c r="C47" s="723"/>
      <c r="D47" s="384" t="s">
        <v>620</v>
      </c>
      <c r="E47" s="384" t="s">
        <v>1072</v>
      </c>
      <c r="F47" s="384" t="s">
        <v>539</v>
      </c>
      <c r="G47" s="384" t="s">
        <v>1073</v>
      </c>
      <c r="H47" s="384" t="s">
        <v>539</v>
      </c>
      <c r="I47" s="384" t="s">
        <v>812</v>
      </c>
      <c r="J47" s="384" t="s">
        <v>812</v>
      </c>
      <c r="K47" s="384" t="s">
        <v>539</v>
      </c>
      <c r="L47" s="384" t="s">
        <v>1074</v>
      </c>
    </row>
    <row r="48" spans="1:12">
      <c r="A48" s="384">
        <v>3832</v>
      </c>
      <c r="B48" s="723" t="s">
        <v>622</v>
      </c>
      <c r="C48" s="723"/>
      <c r="D48" s="384" t="s">
        <v>623</v>
      </c>
      <c r="E48" s="384" t="s">
        <v>1075</v>
      </c>
      <c r="F48" s="384" t="s">
        <v>539</v>
      </c>
      <c r="G48" s="384" t="s">
        <v>1076</v>
      </c>
      <c r="H48" s="384" t="s">
        <v>813</v>
      </c>
      <c r="I48" s="384" t="s">
        <v>814</v>
      </c>
      <c r="J48" s="384" t="s">
        <v>815</v>
      </c>
      <c r="K48" s="384" t="s">
        <v>539</v>
      </c>
      <c r="L48" s="384" t="s">
        <v>1077</v>
      </c>
    </row>
    <row r="49" spans="1:12">
      <c r="A49" s="384">
        <v>3833</v>
      </c>
      <c r="B49" s="723" t="s">
        <v>625</v>
      </c>
      <c r="C49" s="723"/>
      <c r="D49" s="384" t="s">
        <v>626</v>
      </c>
      <c r="E49" s="384" t="s">
        <v>1078</v>
      </c>
      <c r="F49" s="384" t="s">
        <v>539</v>
      </c>
      <c r="G49" s="384" t="s">
        <v>1079</v>
      </c>
      <c r="H49" s="384" t="s">
        <v>539</v>
      </c>
      <c r="I49" s="384" t="s">
        <v>816</v>
      </c>
      <c r="J49" s="384" t="s">
        <v>816</v>
      </c>
      <c r="K49" s="384" t="s">
        <v>539</v>
      </c>
      <c r="L49" s="384" t="s">
        <v>1080</v>
      </c>
    </row>
    <row r="50" spans="1:12">
      <c r="A50" s="384">
        <v>3836</v>
      </c>
      <c r="B50" s="723" t="s">
        <v>627</v>
      </c>
      <c r="C50" s="723"/>
      <c r="D50" s="384" t="s">
        <v>539</v>
      </c>
      <c r="E50" s="384" t="s">
        <v>1081</v>
      </c>
      <c r="F50" s="384" t="s">
        <v>539</v>
      </c>
      <c r="G50" s="384" t="s">
        <v>1081</v>
      </c>
      <c r="H50" s="384" t="s">
        <v>865</v>
      </c>
      <c r="I50" s="384" t="s">
        <v>539</v>
      </c>
      <c r="J50" s="384" t="s">
        <v>865</v>
      </c>
      <c r="K50" s="384" t="s">
        <v>539</v>
      </c>
      <c r="L50" s="384" t="s">
        <v>1082</v>
      </c>
    </row>
    <row r="51" spans="1:12">
      <c r="A51" s="384">
        <v>3838</v>
      </c>
      <c r="B51" s="723" t="s">
        <v>817</v>
      </c>
      <c r="C51" s="723"/>
      <c r="D51" s="384" t="s">
        <v>539</v>
      </c>
      <c r="E51" s="384" t="s">
        <v>1083</v>
      </c>
      <c r="F51" s="384" t="s">
        <v>539</v>
      </c>
      <c r="G51" s="384" t="s">
        <v>1083</v>
      </c>
      <c r="H51" s="384" t="s">
        <v>539</v>
      </c>
      <c r="I51" s="384" t="s">
        <v>539</v>
      </c>
      <c r="J51" s="384" t="s">
        <v>539</v>
      </c>
      <c r="K51" s="384" t="s">
        <v>539</v>
      </c>
      <c r="L51" s="384" t="s">
        <v>1083</v>
      </c>
    </row>
    <row r="52" spans="1:12">
      <c r="A52" s="384">
        <v>3839</v>
      </c>
      <c r="B52" s="723" t="s">
        <v>818</v>
      </c>
      <c r="C52" s="723"/>
      <c r="D52" s="384" t="s">
        <v>539</v>
      </c>
      <c r="E52" s="384" t="s">
        <v>1084</v>
      </c>
      <c r="F52" s="384" t="s">
        <v>539</v>
      </c>
      <c r="G52" s="384" t="s">
        <v>1084</v>
      </c>
      <c r="H52" s="384" t="s">
        <v>539</v>
      </c>
      <c r="I52" s="384" t="s">
        <v>539</v>
      </c>
      <c r="J52" s="384" t="s">
        <v>539</v>
      </c>
      <c r="K52" s="384" t="s">
        <v>539</v>
      </c>
      <c r="L52" s="384" t="s">
        <v>1084</v>
      </c>
    </row>
    <row r="53" spans="1:12">
      <c r="A53" s="384">
        <v>4000</v>
      </c>
      <c r="B53" s="723" t="s">
        <v>628</v>
      </c>
      <c r="C53" s="723"/>
      <c r="D53" s="384" t="s">
        <v>629</v>
      </c>
      <c r="E53" s="384" t="s">
        <v>539</v>
      </c>
      <c r="F53" s="384" t="s">
        <v>539</v>
      </c>
      <c r="G53" s="384" t="s">
        <v>629</v>
      </c>
      <c r="H53" s="384" t="s">
        <v>539</v>
      </c>
      <c r="I53" s="384" t="s">
        <v>539</v>
      </c>
      <c r="J53" s="384" t="s">
        <v>539</v>
      </c>
      <c r="K53" s="384" t="s">
        <v>539</v>
      </c>
      <c r="L53" s="384" t="s">
        <v>629</v>
      </c>
    </row>
    <row r="54" spans="1:12">
      <c r="A54" s="384">
        <v>4001</v>
      </c>
      <c r="B54" s="723" t="s">
        <v>630</v>
      </c>
      <c r="C54" s="723"/>
      <c r="D54" s="384" t="s">
        <v>631</v>
      </c>
      <c r="E54" s="384" t="s">
        <v>1085</v>
      </c>
      <c r="F54" s="384" t="s">
        <v>539</v>
      </c>
      <c r="G54" s="384" t="s">
        <v>1086</v>
      </c>
      <c r="H54" s="384" t="s">
        <v>866</v>
      </c>
      <c r="I54" s="384" t="s">
        <v>819</v>
      </c>
      <c r="J54" s="384" t="s">
        <v>867</v>
      </c>
      <c r="K54" s="384" t="s">
        <v>539</v>
      </c>
      <c r="L54" s="384" t="s">
        <v>1087</v>
      </c>
    </row>
    <row r="55" spans="1:12">
      <c r="A55" s="384">
        <v>4011</v>
      </c>
      <c r="B55" s="723" t="s">
        <v>632</v>
      </c>
      <c r="C55" s="723"/>
      <c r="D55" s="384" t="s">
        <v>633</v>
      </c>
      <c r="E55" s="384" t="s">
        <v>1088</v>
      </c>
      <c r="F55" s="384" t="s">
        <v>539</v>
      </c>
      <c r="G55" s="384" t="s">
        <v>1089</v>
      </c>
      <c r="H55" s="384" t="s">
        <v>1090</v>
      </c>
      <c r="I55" s="384" t="s">
        <v>820</v>
      </c>
      <c r="J55" s="384" t="s">
        <v>1091</v>
      </c>
      <c r="K55" s="384" t="s">
        <v>539</v>
      </c>
      <c r="L55" s="384" t="s">
        <v>1092</v>
      </c>
    </row>
    <row r="56" spans="1:12">
      <c r="A56" s="384">
        <v>4030</v>
      </c>
      <c r="B56" s="723" t="s">
        <v>634</v>
      </c>
      <c r="C56" s="723"/>
      <c r="D56" s="384" t="s">
        <v>635</v>
      </c>
      <c r="E56" s="384" t="s">
        <v>539</v>
      </c>
      <c r="F56" s="384" t="s">
        <v>539</v>
      </c>
      <c r="G56" s="384" t="s">
        <v>635</v>
      </c>
      <c r="H56" s="384" t="s">
        <v>539</v>
      </c>
      <c r="I56" s="384" t="s">
        <v>539</v>
      </c>
      <c r="J56" s="384" t="s">
        <v>539</v>
      </c>
      <c r="K56" s="384" t="s">
        <v>539</v>
      </c>
      <c r="L56" s="384" t="s">
        <v>635</v>
      </c>
    </row>
    <row r="57" spans="1:12">
      <c r="A57" s="384">
        <v>4050</v>
      </c>
      <c r="B57" s="723" t="s">
        <v>636</v>
      </c>
      <c r="C57" s="723"/>
      <c r="D57" s="384" t="s">
        <v>637</v>
      </c>
      <c r="E57" s="384" t="s">
        <v>1093</v>
      </c>
      <c r="F57" s="384" t="s">
        <v>539</v>
      </c>
      <c r="G57" s="384" t="s">
        <v>1094</v>
      </c>
      <c r="H57" s="384" t="s">
        <v>1095</v>
      </c>
      <c r="I57" s="384" t="s">
        <v>821</v>
      </c>
      <c r="J57" s="384" t="s">
        <v>1096</v>
      </c>
      <c r="K57" s="384" t="s">
        <v>539</v>
      </c>
      <c r="L57" s="384" t="s">
        <v>1097</v>
      </c>
    </row>
    <row r="58" spans="1:12">
      <c r="A58" s="384">
        <v>4051</v>
      </c>
      <c r="B58" s="723" t="s">
        <v>638</v>
      </c>
      <c r="C58" s="723"/>
      <c r="D58" s="384" t="s">
        <v>639</v>
      </c>
      <c r="E58" s="384" t="s">
        <v>1098</v>
      </c>
      <c r="F58" s="384" t="s">
        <v>539</v>
      </c>
      <c r="G58" s="384" t="s">
        <v>1099</v>
      </c>
      <c r="H58" s="384" t="s">
        <v>539</v>
      </c>
      <c r="I58" s="384" t="s">
        <v>539</v>
      </c>
      <c r="J58" s="384" t="s">
        <v>539</v>
      </c>
      <c r="K58" s="384" t="s">
        <v>539</v>
      </c>
      <c r="L58" s="384" t="s">
        <v>1099</v>
      </c>
    </row>
    <row r="59" spans="1:12">
      <c r="A59" s="384">
        <v>4080</v>
      </c>
      <c r="B59" s="723" t="s">
        <v>640</v>
      </c>
      <c r="C59" s="723"/>
      <c r="D59" s="384" t="s">
        <v>641</v>
      </c>
      <c r="E59" s="384" t="s">
        <v>539</v>
      </c>
      <c r="F59" s="384" t="s">
        <v>539</v>
      </c>
      <c r="G59" s="384" t="s">
        <v>641</v>
      </c>
      <c r="H59" s="384" t="s">
        <v>539</v>
      </c>
      <c r="I59" s="384" t="s">
        <v>539</v>
      </c>
      <c r="J59" s="384" t="s">
        <v>539</v>
      </c>
      <c r="K59" s="384" t="s">
        <v>539</v>
      </c>
      <c r="L59" s="384" t="s">
        <v>641</v>
      </c>
    </row>
    <row r="60" spans="1:12">
      <c r="A60" s="384">
        <v>4090</v>
      </c>
      <c r="B60" s="723" t="s">
        <v>642</v>
      </c>
      <c r="C60" s="723"/>
      <c r="D60" s="384" t="s">
        <v>643</v>
      </c>
      <c r="E60" s="384" t="s">
        <v>1100</v>
      </c>
      <c r="F60" s="384" t="s">
        <v>539</v>
      </c>
      <c r="G60" s="384" t="s">
        <v>1101</v>
      </c>
      <c r="H60" s="384" t="s">
        <v>1102</v>
      </c>
      <c r="I60" s="384" t="s">
        <v>822</v>
      </c>
      <c r="J60" s="384" t="s">
        <v>1103</v>
      </c>
      <c r="K60" s="384" t="s">
        <v>539</v>
      </c>
      <c r="L60" s="384" t="s">
        <v>1104</v>
      </c>
    </row>
    <row r="61" spans="1:12">
      <c r="A61" s="384">
        <v>4160</v>
      </c>
      <c r="B61" s="723" t="s">
        <v>644</v>
      </c>
      <c r="C61" s="723"/>
      <c r="D61" s="384" t="s">
        <v>645</v>
      </c>
      <c r="E61" s="384" t="s">
        <v>1105</v>
      </c>
      <c r="F61" s="384" t="s">
        <v>539</v>
      </c>
      <c r="G61" s="384" t="s">
        <v>1106</v>
      </c>
      <c r="H61" s="384" t="s">
        <v>539</v>
      </c>
      <c r="I61" s="384" t="s">
        <v>539</v>
      </c>
      <c r="J61" s="384" t="s">
        <v>539</v>
      </c>
      <c r="K61" s="384" t="s">
        <v>539</v>
      </c>
      <c r="L61" s="384" t="s">
        <v>1106</v>
      </c>
    </row>
    <row r="62" spans="1:12">
      <c r="A62" s="384">
        <v>4170</v>
      </c>
      <c r="B62" s="723" t="s">
        <v>646</v>
      </c>
      <c r="C62" s="723"/>
      <c r="D62" s="384" t="s">
        <v>647</v>
      </c>
      <c r="E62" s="384" t="s">
        <v>1107</v>
      </c>
      <c r="F62" s="384" t="s">
        <v>539</v>
      </c>
      <c r="G62" s="384" t="s">
        <v>1108</v>
      </c>
      <c r="H62" s="384" t="s">
        <v>1109</v>
      </c>
      <c r="I62" s="384" t="s">
        <v>539</v>
      </c>
      <c r="J62" s="384" t="s">
        <v>1109</v>
      </c>
      <c r="K62" s="384" t="s">
        <v>539</v>
      </c>
      <c r="L62" s="384" t="s">
        <v>1110</v>
      </c>
    </row>
    <row r="63" spans="1:12">
      <c r="A63" s="384">
        <v>4190</v>
      </c>
      <c r="B63" s="723" t="s">
        <v>648</v>
      </c>
      <c r="C63" s="723"/>
      <c r="D63" s="384" t="s">
        <v>649</v>
      </c>
      <c r="E63" s="384" t="s">
        <v>1111</v>
      </c>
      <c r="F63" s="384" t="s">
        <v>539</v>
      </c>
      <c r="G63" s="384" t="s">
        <v>1112</v>
      </c>
      <c r="H63" s="384" t="s">
        <v>735</v>
      </c>
      <c r="I63" s="384" t="s">
        <v>539</v>
      </c>
      <c r="J63" s="384" t="s">
        <v>735</v>
      </c>
      <c r="K63" s="384" t="s">
        <v>539</v>
      </c>
      <c r="L63" s="384" t="s">
        <v>1113</v>
      </c>
    </row>
    <row r="64" spans="1:12">
      <c r="A64" s="384">
        <v>4220</v>
      </c>
      <c r="B64" s="723" t="s">
        <v>650</v>
      </c>
      <c r="C64" s="723"/>
      <c r="D64" s="384" t="s">
        <v>651</v>
      </c>
      <c r="E64" s="384" t="s">
        <v>1114</v>
      </c>
      <c r="F64" s="384" t="s">
        <v>539</v>
      </c>
      <c r="G64" s="384" t="s">
        <v>1115</v>
      </c>
      <c r="H64" s="384" t="s">
        <v>1116</v>
      </c>
      <c r="I64" s="384" t="s">
        <v>539</v>
      </c>
      <c r="J64" s="384" t="s">
        <v>1116</v>
      </c>
      <c r="K64" s="384" t="s">
        <v>539</v>
      </c>
      <c r="L64" s="384" t="s">
        <v>1117</v>
      </c>
    </row>
    <row r="65" spans="1:12">
      <c r="A65" s="384">
        <v>4234</v>
      </c>
      <c r="B65" s="723" t="s">
        <v>652</v>
      </c>
      <c r="C65" s="723"/>
      <c r="D65" s="384" t="s">
        <v>653</v>
      </c>
      <c r="E65" s="384" t="s">
        <v>539</v>
      </c>
      <c r="F65" s="384" t="s">
        <v>539</v>
      </c>
      <c r="G65" s="384" t="s">
        <v>653</v>
      </c>
      <c r="H65" s="384" t="s">
        <v>539</v>
      </c>
      <c r="I65" s="384" t="s">
        <v>539</v>
      </c>
      <c r="J65" s="384" t="s">
        <v>539</v>
      </c>
      <c r="K65" s="384" t="s">
        <v>539</v>
      </c>
      <c r="L65" s="384" t="s">
        <v>653</v>
      </c>
    </row>
    <row r="66" spans="1:12">
      <c r="A66" s="384">
        <v>4270</v>
      </c>
      <c r="B66" s="723" t="s">
        <v>654</v>
      </c>
      <c r="C66" s="723"/>
      <c r="D66" s="384" t="s">
        <v>655</v>
      </c>
      <c r="E66" s="384" t="s">
        <v>1118</v>
      </c>
      <c r="F66" s="384" t="s">
        <v>539</v>
      </c>
      <c r="G66" s="384" t="s">
        <v>1119</v>
      </c>
      <c r="H66" s="384" t="s">
        <v>539</v>
      </c>
      <c r="I66" s="384" t="s">
        <v>823</v>
      </c>
      <c r="J66" s="384" t="s">
        <v>823</v>
      </c>
      <c r="K66" s="384" t="s">
        <v>539</v>
      </c>
      <c r="L66" s="384" t="s">
        <v>1120</v>
      </c>
    </row>
    <row r="67" spans="1:12">
      <c r="A67" s="384">
        <v>4290</v>
      </c>
      <c r="B67" s="723" t="s">
        <v>656</v>
      </c>
      <c r="C67" s="723"/>
      <c r="D67" s="384" t="s">
        <v>657</v>
      </c>
      <c r="E67" s="384" t="s">
        <v>539</v>
      </c>
      <c r="F67" s="384" t="s">
        <v>539</v>
      </c>
      <c r="G67" s="384" t="s">
        <v>657</v>
      </c>
      <c r="H67" s="384" t="s">
        <v>539</v>
      </c>
      <c r="I67" s="384" t="s">
        <v>539</v>
      </c>
      <c r="J67" s="384" t="s">
        <v>539</v>
      </c>
      <c r="K67" s="384" t="s">
        <v>539</v>
      </c>
      <c r="L67" s="384" t="s">
        <v>657</v>
      </c>
    </row>
    <row r="68" spans="1:12">
      <c r="A68" s="384">
        <v>4292</v>
      </c>
      <c r="B68" s="723" t="s">
        <v>658</v>
      </c>
      <c r="C68" s="723"/>
      <c r="D68" s="384" t="s">
        <v>659</v>
      </c>
      <c r="E68" s="384" t="s">
        <v>1121</v>
      </c>
      <c r="F68" s="384" t="s">
        <v>539</v>
      </c>
      <c r="G68" s="384" t="s">
        <v>1122</v>
      </c>
      <c r="H68" s="384" t="s">
        <v>539</v>
      </c>
      <c r="I68" s="384" t="s">
        <v>539</v>
      </c>
      <c r="J68" s="384" t="s">
        <v>539</v>
      </c>
      <c r="K68" s="384" t="s">
        <v>539</v>
      </c>
      <c r="L68" s="384" t="s">
        <v>1122</v>
      </c>
    </row>
    <row r="69" spans="1:12">
      <c r="A69" s="384">
        <v>4293</v>
      </c>
      <c r="B69" s="723" t="s">
        <v>660</v>
      </c>
      <c r="C69" s="723"/>
      <c r="D69" s="384" t="s">
        <v>661</v>
      </c>
      <c r="E69" s="384" t="s">
        <v>1123</v>
      </c>
      <c r="F69" s="384" t="s">
        <v>539</v>
      </c>
      <c r="G69" s="384" t="s">
        <v>1124</v>
      </c>
      <c r="H69" s="384" t="s">
        <v>539</v>
      </c>
      <c r="I69" s="384" t="s">
        <v>539</v>
      </c>
      <c r="J69" s="384" t="s">
        <v>539</v>
      </c>
      <c r="K69" s="384" t="s">
        <v>539</v>
      </c>
      <c r="L69" s="384" t="s">
        <v>1124</v>
      </c>
    </row>
    <row r="70" spans="1:12">
      <c r="A70" s="384">
        <v>4294</v>
      </c>
      <c r="B70" s="723" t="s">
        <v>662</v>
      </c>
      <c r="C70" s="723"/>
      <c r="D70" s="384" t="s">
        <v>663</v>
      </c>
      <c r="E70" s="384" t="s">
        <v>1125</v>
      </c>
      <c r="F70" s="384" t="s">
        <v>539</v>
      </c>
      <c r="G70" s="384" t="s">
        <v>1126</v>
      </c>
      <c r="H70" s="384" t="s">
        <v>539</v>
      </c>
      <c r="I70" s="384" t="s">
        <v>824</v>
      </c>
      <c r="J70" s="384" t="s">
        <v>824</v>
      </c>
      <c r="K70" s="384" t="s">
        <v>539</v>
      </c>
      <c r="L70" s="384" t="s">
        <v>1127</v>
      </c>
    </row>
    <row r="71" spans="1:12">
      <c r="A71" s="384">
        <v>4295</v>
      </c>
      <c r="B71" s="723" t="s">
        <v>664</v>
      </c>
      <c r="C71" s="723"/>
      <c r="D71" s="384" t="s">
        <v>665</v>
      </c>
      <c r="E71" s="384" t="s">
        <v>1128</v>
      </c>
      <c r="F71" s="384" t="s">
        <v>539</v>
      </c>
      <c r="G71" s="384" t="s">
        <v>1129</v>
      </c>
      <c r="H71" s="384" t="s">
        <v>825</v>
      </c>
      <c r="I71" s="384" t="s">
        <v>539</v>
      </c>
      <c r="J71" s="384" t="s">
        <v>825</v>
      </c>
      <c r="K71" s="384" t="s">
        <v>539</v>
      </c>
      <c r="L71" s="384" t="s">
        <v>1130</v>
      </c>
    </row>
    <row r="72" spans="1:12">
      <c r="A72" s="384">
        <v>4500</v>
      </c>
      <c r="B72" s="723" t="s">
        <v>666</v>
      </c>
      <c r="C72" s="723"/>
      <c r="D72" s="384" t="s">
        <v>667</v>
      </c>
      <c r="E72" s="384" t="s">
        <v>1131</v>
      </c>
      <c r="F72" s="384" t="s">
        <v>539</v>
      </c>
      <c r="G72" s="384" t="s">
        <v>1132</v>
      </c>
      <c r="H72" s="384" t="s">
        <v>1133</v>
      </c>
      <c r="I72" s="384" t="s">
        <v>826</v>
      </c>
      <c r="J72" s="384" t="s">
        <v>1134</v>
      </c>
      <c r="K72" s="384" t="s">
        <v>539</v>
      </c>
      <c r="L72" s="384" t="s">
        <v>1135</v>
      </c>
    </row>
    <row r="73" spans="1:12">
      <c r="A73" s="384">
        <v>4501</v>
      </c>
      <c r="B73" s="723" t="s">
        <v>668</v>
      </c>
      <c r="C73" s="723"/>
      <c r="D73" s="384" t="s">
        <v>669</v>
      </c>
      <c r="E73" s="384" t="s">
        <v>1136</v>
      </c>
      <c r="F73" s="384" t="s">
        <v>539</v>
      </c>
      <c r="G73" s="384" t="s">
        <v>1137</v>
      </c>
      <c r="H73" s="384" t="s">
        <v>1138</v>
      </c>
      <c r="I73" s="384" t="s">
        <v>827</v>
      </c>
      <c r="J73" s="384" t="s">
        <v>1139</v>
      </c>
      <c r="K73" s="384" t="s">
        <v>539</v>
      </c>
      <c r="L73" s="384" t="s">
        <v>1140</v>
      </c>
    </row>
    <row r="74" spans="1:12">
      <c r="A74" s="384">
        <v>4502</v>
      </c>
      <c r="B74" s="723" t="s">
        <v>670</v>
      </c>
      <c r="C74" s="723"/>
      <c r="D74" s="384" t="s">
        <v>671</v>
      </c>
      <c r="E74" s="384" t="s">
        <v>1141</v>
      </c>
      <c r="F74" s="384" t="s">
        <v>539</v>
      </c>
      <c r="G74" s="384" t="s">
        <v>1142</v>
      </c>
      <c r="H74" s="384" t="s">
        <v>1143</v>
      </c>
      <c r="I74" s="384" t="s">
        <v>828</v>
      </c>
      <c r="J74" s="384" t="s">
        <v>1144</v>
      </c>
      <c r="K74" s="384" t="s">
        <v>539</v>
      </c>
      <c r="L74" s="384" t="s">
        <v>1145</v>
      </c>
    </row>
    <row r="75" spans="1:12">
      <c r="A75" s="384">
        <v>4503</v>
      </c>
      <c r="B75" s="723" t="s">
        <v>672</v>
      </c>
      <c r="C75" s="723"/>
      <c r="D75" s="384" t="s">
        <v>673</v>
      </c>
      <c r="E75" s="384" t="s">
        <v>1146</v>
      </c>
      <c r="F75" s="384" t="s">
        <v>539</v>
      </c>
      <c r="G75" s="384" t="s">
        <v>1147</v>
      </c>
      <c r="H75" s="384" t="s">
        <v>1148</v>
      </c>
      <c r="I75" s="384" t="s">
        <v>700</v>
      </c>
      <c r="J75" s="384" t="s">
        <v>1149</v>
      </c>
      <c r="K75" s="384" t="s">
        <v>539</v>
      </c>
      <c r="L75" s="384" t="s">
        <v>1150</v>
      </c>
    </row>
    <row r="76" spans="1:12">
      <c r="A76" s="384">
        <v>4504</v>
      </c>
      <c r="B76" s="723" t="s">
        <v>674</v>
      </c>
      <c r="C76" s="723"/>
      <c r="D76" s="384" t="s">
        <v>675</v>
      </c>
      <c r="E76" s="384" t="s">
        <v>1151</v>
      </c>
      <c r="F76" s="384" t="s">
        <v>539</v>
      </c>
      <c r="G76" s="384" t="s">
        <v>1152</v>
      </c>
      <c r="H76" s="384" t="s">
        <v>868</v>
      </c>
      <c r="I76" s="384" t="s">
        <v>830</v>
      </c>
      <c r="J76" s="384" t="s">
        <v>869</v>
      </c>
      <c r="K76" s="384" t="s">
        <v>539</v>
      </c>
      <c r="L76" s="384" t="s">
        <v>1153</v>
      </c>
    </row>
    <row r="77" spans="1:12">
      <c r="A77" s="384">
        <v>4505</v>
      </c>
      <c r="B77" s="723" t="s">
        <v>676</v>
      </c>
      <c r="C77" s="723"/>
      <c r="D77" s="384" t="s">
        <v>677</v>
      </c>
      <c r="E77" s="384" t="s">
        <v>1154</v>
      </c>
      <c r="F77" s="384" t="s">
        <v>539</v>
      </c>
      <c r="G77" s="384" t="s">
        <v>1155</v>
      </c>
      <c r="H77" s="384" t="s">
        <v>1156</v>
      </c>
      <c r="I77" s="384" t="s">
        <v>539</v>
      </c>
      <c r="J77" s="384" t="s">
        <v>1156</v>
      </c>
      <c r="K77" s="384" t="s">
        <v>539</v>
      </c>
      <c r="L77" s="384" t="s">
        <v>1157</v>
      </c>
    </row>
    <row r="78" spans="1:12">
      <c r="A78" s="384">
        <v>4506</v>
      </c>
      <c r="B78" s="723" t="s">
        <v>678</v>
      </c>
      <c r="C78" s="723"/>
      <c r="D78" s="384" t="s">
        <v>679</v>
      </c>
      <c r="E78" s="384" t="s">
        <v>1158</v>
      </c>
      <c r="F78" s="384" t="s">
        <v>539</v>
      </c>
      <c r="G78" s="384" t="s">
        <v>1159</v>
      </c>
      <c r="H78" s="384" t="s">
        <v>831</v>
      </c>
      <c r="I78" s="384" t="s">
        <v>539</v>
      </c>
      <c r="J78" s="384" t="s">
        <v>831</v>
      </c>
      <c r="K78" s="384" t="s">
        <v>539</v>
      </c>
      <c r="L78" s="384" t="s">
        <v>1160</v>
      </c>
    </row>
    <row r="79" spans="1:12">
      <c r="A79" s="384">
        <v>4507</v>
      </c>
      <c r="B79" s="723" t="s">
        <v>680</v>
      </c>
      <c r="C79" s="723"/>
      <c r="D79" s="384" t="s">
        <v>681</v>
      </c>
      <c r="E79" s="384" t="s">
        <v>1161</v>
      </c>
      <c r="F79" s="384" t="s">
        <v>539</v>
      </c>
      <c r="G79" s="384" t="s">
        <v>1162</v>
      </c>
      <c r="H79" s="384" t="s">
        <v>539</v>
      </c>
      <c r="I79" s="384" t="s">
        <v>539</v>
      </c>
      <c r="J79" s="384" t="s">
        <v>539</v>
      </c>
      <c r="K79" s="384" t="s">
        <v>539</v>
      </c>
      <c r="L79" s="384" t="s">
        <v>1162</v>
      </c>
    </row>
    <row r="80" spans="1:12">
      <c r="A80" s="384">
        <v>4509</v>
      </c>
      <c r="B80" s="723" t="s">
        <v>682</v>
      </c>
      <c r="C80" s="723"/>
      <c r="D80" s="384" t="s">
        <v>683</v>
      </c>
      <c r="E80" s="384" t="s">
        <v>1163</v>
      </c>
      <c r="F80" s="384" t="s">
        <v>539</v>
      </c>
      <c r="G80" s="384" t="s">
        <v>1164</v>
      </c>
      <c r="H80" s="384" t="s">
        <v>539</v>
      </c>
      <c r="I80" s="384" t="s">
        <v>539</v>
      </c>
      <c r="J80" s="384" t="s">
        <v>539</v>
      </c>
      <c r="K80" s="384" t="s">
        <v>539</v>
      </c>
      <c r="L80" s="384" t="s">
        <v>1164</v>
      </c>
    </row>
    <row r="81" spans="1:12">
      <c r="A81" s="384">
        <v>4510</v>
      </c>
      <c r="B81" s="723" t="s">
        <v>832</v>
      </c>
      <c r="C81" s="723"/>
      <c r="D81" s="384" t="s">
        <v>539</v>
      </c>
      <c r="E81" s="384" t="s">
        <v>539</v>
      </c>
      <c r="F81" s="384" t="s">
        <v>539</v>
      </c>
      <c r="G81" s="384" t="s">
        <v>539</v>
      </c>
      <c r="H81" s="384" t="s">
        <v>539</v>
      </c>
      <c r="I81" s="384" t="s">
        <v>833</v>
      </c>
      <c r="J81" s="384" t="s">
        <v>833</v>
      </c>
      <c r="K81" s="384" t="s">
        <v>539</v>
      </c>
      <c r="L81" s="384" t="s">
        <v>834</v>
      </c>
    </row>
    <row r="82" spans="1:12">
      <c r="A82" s="384">
        <v>4511</v>
      </c>
      <c r="B82" s="723" t="s">
        <v>684</v>
      </c>
      <c r="C82" s="723"/>
      <c r="D82" s="384" t="s">
        <v>685</v>
      </c>
      <c r="E82" s="384" t="s">
        <v>1165</v>
      </c>
      <c r="F82" s="384" t="s">
        <v>539</v>
      </c>
      <c r="G82" s="384" t="s">
        <v>1166</v>
      </c>
      <c r="H82" s="384" t="s">
        <v>870</v>
      </c>
      <c r="I82" s="384" t="s">
        <v>701</v>
      </c>
      <c r="J82" s="384" t="s">
        <v>871</v>
      </c>
      <c r="K82" s="384" t="s">
        <v>539</v>
      </c>
      <c r="L82" s="384" t="s">
        <v>1167</v>
      </c>
    </row>
    <row r="83" spans="1:12">
      <c r="A83" s="384">
        <v>4512</v>
      </c>
      <c r="B83" s="723" t="s">
        <v>687</v>
      </c>
      <c r="C83" s="723"/>
      <c r="D83" s="384" t="s">
        <v>688</v>
      </c>
      <c r="E83" s="384" t="s">
        <v>1168</v>
      </c>
      <c r="F83" s="384" t="s">
        <v>539</v>
      </c>
      <c r="G83" s="384" t="s">
        <v>1169</v>
      </c>
      <c r="H83" s="384" t="s">
        <v>539</v>
      </c>
      <c r="I83" s="384" t="s">
        <v>539</v>
      </c>
      <c r="J83" s="384" t="s">
        <v>539</v>
      </c>
      <c r="K83" s="384" t="s">
        <v>539</v>
      </c>
      <c r="L83" s="384" t="s">
        <v>1169</v>
      </c>
    </row>
    <row r="84" spans="1:12">
      <c r="A84" s="384">
        <v>4710</v>
      </c>
      <c r="B84" s="723" t="s">
        <v>835</v>
      </c>
      <c r="C84" s="723"/>
      <c r="D84" s="384" t="s">
        <v>539</v>
      </c>
      <c r="E84" s="384" t="s">
        <v>539</v>
      </c>
      <c r="F84" s="384" t="s">
        <v>539</v>
      </c>
      <c r="G84" s="384" t="s">
        <v>539</v>
      </c>
      <c r="H84" s="384" t="s">
        <v>539</v>
      </c>
      <c r="I84" s="384" t="s">
        <v>836</v>
      </c>
      <c r="J84" s="384" t="s">
        <v>836</v>
      </c>
      <c r="K84" s="384" t="s">
        <v>539</v>
      </c>
      <c r="L84" s="384" t="s">
        <v>837</v>
      </c>
    </row>
    <row r="85" spans="1:12">
      <c r="A85" s="384">
        <v>4931</v>
      </c>
      <c r="B85" s="723" t="s">
        <v>660</v>
      </c>
      <c r="C85" s="723"/>
      <c r="D85" s="384" t="s">
        <v>539</v>
      </c>
      <c r="E85" s="384" t="s">
        <v>539</v>
      </c>
      <c r="F85" s="384" t="s">
        <v>539</v>
      </c>
      <c r="G85" s="384" t="s">
        <v>539</v>
      </c>
      <c r="H85" s="384" t="s">
        <v>539</v>
      </c>
      <c r="I85" s="384" t="s">
        <v>838</v>
      </c>
      <c r="J85" s="384" t="s">
        <v>838</v>
      </c>
      <c r="K85" s="384" t="s">
        <v>539</v>
      </c>
      <c r="L85" s="384" t="s">
        <v>839</v>
      </c>
    </row>
    <row r="86" spans="1:12">
      <c r="A86" s="384">
        <v>4986</v>
      </c>
      <c r="B86" s="723" t="s">
        <v>689</v>
      </c>
      <c r="C86" s="723"/>
      <c r="D86" s="384" t="s">
        <v>690</v>
      </c>
      <c r="E86" s="384" t="s">
        <v>1170</v>
      </c>
      <c r="F86" s="384" t="s">
        <v>539</v>
      </c>
      <c r="G86" s="384" t="s">
        <v>1171</v>
      </c>
      <c r="H86" s="384" t="s">
        <v>539</v>
      </c>
      <c r="I86" s="384" t="s">
        <v>539</v>
      </c>
      <c r="J86" s="384" t="s">
        <v>539</v>
      </c>
      <c r="K86" s="384" t="s">
        <v>539</v>
      </c>
      <c r="L86" s="384" t="s">
        <v>1171</v>
      </c>
    </row>
    <row r="87" spans="1:12">
      <c r="A87" s="384">
        <v>8001</v>
      </c>
      <c r="B87" s="723" t="s">
        <v>691</v>
      </c>
      <c r="C87" s="723"/>
      <c r="D87" s="384" t="s">
        <v>692</v>
      </c>
      <c r="E87" s="384" t="s">
        <v>539</v>
      </c>
      <c r="F87" s="384" t="s">
        <v>539</v>
      </c>
      <c r="G87" s="384" t="s">
        <v>692</v>
      </c>
      <c r="H87" s="384" t="s">
        <v>539</v>
      </c>
      <c r="I87" s="384" t="s">
        <v>539</v>
      </c>
      <c r="J87" s="384" t="s">
        <v>539</v>
      </c>
      <c r="K87" s="384" t="s">
        <v>539</v>
      </c>
      <c r="L87" s="384" t="s">
        <v>692</v>
      </c>
    </row>
    <row r="88" spans="1:12">
      <c r="A88" s="384">
        <v>8024</v>
      </c>
      <c r="B88" s="723" t="s">
        <v>693</v>
      </c>
      <c r="C88" s="723"/>
      <c r="D88" s="384" t="s">
        <v>694</v>
      </c>
      <c r="E88" s="384" t="s">
        <v>539</v>
      </c>
      <c r="F88" s="384" t="s">
        <v>539</v>
      </c>
      <c r="G88" s="384" t="s">
        <v>694</v>
      </c>
      <c r="H88" s="384" t="s">
        <v>539</v>
      </c>
      <c r="I88" s="384" t="s">
        <v>539</v>
      </c>
      <c r="J88" s="384" t="s">
        <v>539</v>
      </c>
      <c r="K88" s="384" t="s">
        <v>539</v>
      </c>
      <c r="L88" s="384" t="s">
        <v>694</v>
      </c>
    </row>
    <row r="89" spans="1:12">
      <c r="A89" s="384">
        <v>8050</v>
      </c>
      <c r="B89" s="723" t="s">
        <v>695</v>
      </c>
      <c r="C89" s="723"/>
      <c r="D89" s="384" t="s">
        <v>696</v>
      </c>
      <c r="E89" s="384" t="s">
        <v>539</v>
      </c>
      <c r="F89" s="384" t="s">
        <v>539</v>
      </c>
      <c r="G89" s="384" t="s">
        <v>696</v>
      </c>
      <c r="H89" s="384" t="s">
        <v>539</v>
      </c>
      <c r="I89" s="384" t="s">
        <v>539</v>
      </c>
      <c r="J89" s="384" t="s">
        <v>539</v>
      </c>
      <c r="K89" s="384" t="s">
        <v>539</v>
      </c>
      <c r="L89" s="384" t="s">
        <v>696</v>
      </c>
    </row>
    <row r="91" spans="1:12">
      <c r="A91" s="724" t="s">
        <v>190</v>
      </c>
      <c r="B91" s="724"/>
      <c r="C91" s="724"/>
      <c r="D91" s="385" t="s">
        <v>697</v>
      </c>
      <c r="E91" s="385" t="s">
        <v>1172</v>
      </c>
      <c r="F91" s="385" t="s">
        <v>968</v>
      </c>
      <c r="G91" s="385" t="s">
        <v>1173</v>
      </c>
      <c r="H91" s="385" t="s">
        <v>1174</v>
      </c>
      <c r="I91" s="385" t="s">
        <v>840</v>
      </c>
      <c r="J91" s="385" t="s">
        <v>1175</v>
      </c>
      <c r="K91" s="385" t="s">
        <v>968</v>
      </c>
      <c r="L91" s="385" t="s">
        <v>1176</v>
      </c>
    </row>
  </sheetData>
  <mergeCells count="92">
    <mergeCell ref="B11:C11"/>
    <mergeCell ref="B12:C12"/>
    <mergeCell ref="B13:C13"/>
    <mergeCell ref="B10:C10"/>
    <mergeCell ref="D6:D7"/>
    <mergeCell ref="L6:L7"/>
    <mergeCell ref="B8:C8"/>
    <mergeCell ref="B9:C9"/>
    <mergeCell ref="H6:H7"/>
    <mergeCell ref="I6:I7"/>
    <mergeCell ref="E6:E7"/>
    <mergeCell ref="F6:F7"/>
    <mergeCell ref="G6:G7"/>
    <mergeCell ref="J6:J7"/>
    <mergeCell ref="K6:K7"/>
    <mergeCell ref="B14:C14"/>
    <mergeCell ref="B15:C15"/>
    <mergeCell ref="B28:C28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16:C16"/>
    <mergeCell ref="B40:C40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52:C52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77:C77"/>
    <mergeCell ref="B78:C78"/>
    <mergeCell ref="B64:C64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76:C76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9:C79"/>
    <mergeCell ref="B80:C80"/>
    <mergeCell ref="B81:C81"/>
    <mergeCell ref="B89:C89"/>
    <mergeCell ref="A91:C91"/>
    <mergeCell ref="B84:C84"/>
    <mergeCell ref="B85:C85"/>
    <mergeCell ref="B86:C86"/>
    <mergeCell ref="B87:C87"/>
    <mergeCell ref="B88:C88"/>
    <mergeCell ref="B82:C82"/>
    <mergeCell ref="B83:C8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85"/>
  <sheetViews>
    <sheetView workbookViewId="0">
      <selection sqref="A1:XFD1048576"/>
    </sheetView>
  </sheetViews>
  <sheetFormatPr defaultRowHeight="15"/>
  <cols>
    <col min="4" max="5" width="12.7109375" customWidth="1"/>
    <col min="6" max="6" width="10.7109375" customWidth="1"/>
    <col min="7" max="9" width="12.7109375" customWidth="1"/>
    <col min="11" max="11" width="11.7109375" customWidth="1"/>
    <col min="12" max="12" width="13.7109375" customWidth="1"/>
  </cols>
  <sheetData>
    <row r="1" spans="1:12">
      <c r="A1" s="382" t="s">
        <v>522</v>
      </c>
    </row>
    <row r="2" spans="1:12">
      <c r="A2" s="382" t="s">
        <v>966</v>
      </c>
    </row>
    <row r="4" spans="1:12">
      <c r="A4" s="382" t="s">
        <v>523</v>
      </c>
      <c r="C4" s="473" t="s">
        <v>524</v>
      </c>
    </row>
    <row r="6" spans="1:12">
      <c r="D6" s="725" t="s">
        <v>525</v>
      </c>
      <c r="E6" s="725" t="s">
        <v>526</v>
      </c>
      <c r="F6" s="725" t="s">
        <v>527</v>
      </c>
      <c r="G6" s="725" t="s">
        <v>528</v>
      </c>
      <c r="H6" s="725" t="s">
        <v>529</v>
      </c>
      <c r="I6" s="725" t="s">
        <v>530</v>
      </c>
      <c r="J6" s="725" t="s">
        <v>531</v>
      </c>
      <c r="K6" s="725" t="s">
        <v>532</v>
      </c>
      <c r="L6" s="725" t="s">
        <v>533</v>
      </c>
    </row>
    <row r="7" spans="1:12">
      <c r="A7" s="383" t="s">
        <v>534</v>
      </c>
      <c r="D7" s="726"/>
      <c r="E7" s="726"/>
      <c r="F7" s="726"/>
      <c r="G7" s="726"/>
      <c r="H7" s="726"/>
      <c r="I7" s="726"/>
      <c r="J7" s="726"/>
      <c r="K7" s="726"/>
      <c r="L7" s="726"/>
    </row>
    <row r="8" spans="1:12">
      <c r="A8" s="384">
        <v>1</v>
      </c>
      <c r="B8" s="723" t="s">
        <v>535</v>
      </c>
      <c r="C8" s="723"/>
      <c r="D8" s="384" t="s">
        <v>536</v>
      </c>
      <c r="E8" s="384" t="s">
        <v>967</v>
      </c>
      <c r="F8" s="384" t="s">
        <v>968</v>
      </c>
      <c r="G8" s="384" t="s">
        <v>969</v>
      </c>
      <c r="H8" s="384" t="s">
        <v>1177</v>
      </c>
      <c r="I8" s="384" t="s">
        <v>1178</v>
      </c>
      <c r="J8" s="384" t="s">
        <v>1179</v>
      </c>
      <c r="K8" s="384" t="s">
        <v>968</v>
      </c>
      <c r="L8" s="384" t="s">
        <v>1180</v>
      </c>
    </row>
    <row r="9" spans="1:12">
      <c r="A9" s="384">
        <v>20</v>
      </c>
      <c r="B9" s="723" t="s">
        <v>537</v>
      </c>
      <c r="C9" s="723"/>
      <c r="D9" s="384" t="s">
        <v>538</v>
      </c>
      <c r="E9" s="384" t="s">
        <v>973</v>
      </c>
      <c r="F9" s="384" t="s">
        <v>539</v>
      </c>
      <c r="G9" s="384" t="s">
        <v>974</v>
      </c>
      <c r="H9" s="384" t="s">
        <v>1181</v>
      </c>
      <c r="I9" s="384" t="s">
        <v>1182</v>
      </c>
      <c r="J9" s="384" t="s">
        <v>1183</v>
      </c>
      <c r="K9" s="384" t="s">
        <v>539</v>
      </c>
      <c r="L9" s="384" t="s">
        <v>1184</v>
      </c>
    </row>
    <row r="10" spans="1:12">
      <c r="A10" s="384">
        <v>31</v>
      </c>
      <c r="B10" s="723" t="s">
        <v>540</v>
      </c>
      <c r="C10" s="723"/>
      <c r="D10" s="384" t="s">
        <v>541</v>
      </c>
      <c r="E10" s="384" t="s">
        <v>978</v>
      </c>
      <c r="F10" s="384" t="s">
        <v>539</v>
      </c>
      <c r="G10" s="384" t="s">
        <v>979</v>
      </c>
      <c r="H10" s="384" t="s">
        <v>980</v>
      </c>
      <c r="I10" s="384" t="s">
        <v>539</v>
      </c>
      <c r="J10" s="384" t="s">
        <v>980</v>
      </c>
      <c r="K10" s="384" t="s">
        <v>539</v>
      </c>
      <c r="L10" s="384" t="s">
        <v>1185</v>
      </c>
    </row>
    <row r="11" spans="1:12">
      <c r="A11" s="384">
        <v>40</v>
      </c>
      <c r="B11" s="723" t="s">
        <v>542</v>
      </c>
      <c r="C11" s="723"/>
      <c r="D11" s="384" t="s">
        <v>543</v>
      </c>
      <c r="E11" s="384" t="s">
        <v>983</v>
      </c>
      <c r="F11" s="384" t="s">
        <v>539</v>
      </c>
      <c r="G11" s="384" t="s">
        <v>984</v>
      </c>
      <c r="H11" s="384" t="s">
        <v>1186</v>
      </c>
      <c r="I11" s="384" t="s">
        <v>841</v>
      </c>
      <c r="J11" s="384" t="s">
        <v>1187</v>
      </c>
      <c r="K11" s="384" t="s">
        <v>539</v>
      </c>
      <c r="L11" s="384" t="s">
        <v>1188</v>
      </c>
    </row>
    <row r="12" spans="1:12">
      <c r="A12" s="384">
        <v>50</v>
      </c>
      <c r="B12" s="723" t="s">
        <v>544</v>
      </c>
      <c r="C12" s="723"/>
      <c r="D12" s="384" t="s">
        <v>545</v>
      </c>
      <c r="E12" s="384" t="s">
        <v>988</v>
      </c>
      <c r="F12" s="384" t="s">
        <v>539</v>
      </c>
      <c r="G12" s="384" t="s">
        <v>989</v>
      </c>
      <c r="H12" s="384" t="s">
        <v>1189</v>
      </c>
      <c r="I12" s="384" t="s">
        <v>539</v>
      </c>
      <c r="J12" s="384" t="s">
        <v>1189</v>
      </c>
      <c r="K12" s="384" t="s">
        <v>539</v>
      </c>
      <c r="L12" s="384" t="s">
        <v>1190</v>
      </c>
    </row>
    <row r="13" spans="1:12">
      <c r="A13" s="384">
        <v>900</v>
      </c>
      <c r="B13" s="723" t="s">
        <v>546</v>
      </c>
      <c r="C13" s="723"/>
      <c r="D13" s="384" t="s">
        <v>547</v>
      </c>
      <c r="E13" s="384" t="s">
        <v>539</v>
      </c>
      <c r="F13" s="384" t="s">
        <v>539</v>
      </c>
      <c r="G13" s="384" t="s">
        <v>547</v>
      </c>
      <c r="H13" s="384" t="s">
        <v>539</v>
      </c>
      <c r="I13" s="384" t="s">
        <v>539</v>
      </c>
      <c r="J13" s="384" t="s">
        <v>539</v>
      </c>
      <c r="K13" s="384" t="s">
        <v>539</v>
      </c>
      <c r="L13" s="384" t="s">
        <v>547</v>
      </c>
    </row>
    <row r="14" spans="1:12">
      <c r="A14" s="384">
        <v>1022</v>
      </c>
      <c r="B14" s="723" t="s">
        <v>548</v>
      </c>
      <c r="C14" s="723"/>
      <c r="D14" s="384" t="s">
        <v>549</v>
      </c>
      <c r="E14" s="384" t="s">
        <v>993</v>
      </c>
      <c r="F14" s="384" t="s">
        <v>539</v>
      </c>
      <c r="G14" s="384" t="s">
        <v>994</v>
      </c>
      <c r="H14" s="384" t="s">
        <v>1191</v>
      </c>
      <c r="I14" s="384" t="s">
        <v>539</v>
      </c>
      <c r="J14" s="384" t="s">
        <v>1191</v>
      </c>
      <c r="K14" s="384" t="s">
        <v>539</v>
      </c>
      <c r="L14" s="384" t="s">
        <v>1192</v>
      </c>
    </row>
    <row r="15" spans="1:12">
      <c r="A15" s="384">
        <v>1023</v>
      </c>
      <c r="B15" s="723" t="s">
        <v>550</v>
      </c>
      <c r="C15" s="723"/>
      <c r="D15" s="384" t="s">
        <v>551</v>
      </c>
      <c r="E15" s="384" t="s">
        <v>996</v>
      </c>
      <c r="F15" s="384" t="s">
        <v>539</v>
      </c>
      <c r="G15" s="384" t="s">
        <v>997</v>
      </c>
      <c r="H15" s="384" t="s">
        <v>1193</v>
      </c>
      <c r="I15" s="384" t="s">
        <v>552</v>
      </c>
      <c r="J15" s="384" t="s">
        <v>1194</v>
      </c>
      <c r="K15" s="384" t="s">
        <v>539</v>
      </c>
      <c r="L15" s="384" t="s">
        <v>1195</v>
      </c>
    </row>
    <row r="16" spans="1:12">
      <c r="A16" s="384">
        <v>1024</v>
      </c>
      <c r="B16" s="723" t="s">
        <v>553</v>
      </c>
      <c r="C16" s="723"/>
      <c r="D16" s="384" t="s">
        <v>554</v>
      </c>
      <c r="E16" s="384" t="s">
        <v>1001</v>
      </c>
      <c r="F16" s="384" t="s">
        <v>539</v>
      </c>
      <c r="G16" s="384" t="s">
        <v>1002</v>
      </c>
      <c r="H16" s="384" t="s">
        <v>1003</v>
      </c>
      <c r="I16" s="384" t="s">
        <v>539</v>
      </c>
      <c r="J16" s="384" t="s">
        <v>1003</v>
      </c>
      <c r="K16" s="384" t="s">
        <v>539</v>
      </c>
      <c r="L16" s="384" t="s">
        <v>1004</v>
      </c>
    </row>
    <row r="17" spans="1:12">
      <c r="A17" s="384">
        <v>1025</v>
      </c>
      <c r="B17" s="723" t="s">
        <v>555</v>
      </c>
      <c r="C17" s="723"/>
      <c r="D17" s="384" t="s">
        <v>556</v>
      </c>
      <c r="E17" s="384" t="s">
        <v>1005</v>
      </c>
      <c r="F17" s="384" t="s">
        <v>539</v>
      </c>
      <c r="G17" s="384" t="s">
        <v>1006</v>
      </c>
      <c r="H17" s="384" t="s">
        <v>539</v>
      </c>
      <c r="I17" s="384" t="s">
        <v>539</v>
      </c>
      <c r="J17" s="384" t="s">
        <v>539</v>
      </c>
      <c r="K17" s="384" t="s">
        <v>539</v>
      </c>
      <c r="L17" s="384" t="s">
        <v>1006</v>
      </c>
    </row>
    <row r="18" spans="1:12">
      <c r="A18" s="384">
        <v>1026</v>
      </c>
      <c r="B18" s="723" t="s">
        <v>557</v>
      </c>
      <c r="C18" s="723"/>
      <c r="D18" s="384" t="s">
        <v>558</v>
      </c>
      <c r="E18" s="384" t="s">
        <v>1007</v>
      </c>
      <c r="F18" s="384" t="s">
        <v>539</v>
      </c>
      <c r="G18" s="384" t="s">
        <v>1008</v>
      </c>
      <c r="H18" s="384" t="s">
        <v>1009</v>
      </c>
      <c r="I18" s="384" t="s">
        <v>539</v>
      </c>
      <c r="J18" s="384" t="s">
        <v>1009</v>
      </c>
      <c r="K18" s="384" t="s">
        <v>539</v>
      </c>
      <c r="L18" s="384" t="s">
        <v>1196</v>
      </c>
    </row>
    <row r="19" spans="1:12">
      <c r="A19" s="384">
        <v>1031</v>
      </c>
      <c r="B19" s="723" t="s">
        <v>559</v>
      </c>
      <c r="C19" s="723"/>
      <c r="D19" s="384" t="s">
        <v>560</v>
      </c>
      <c r="E19" s="384" t="s">
        <v>1012</v>
      </c>
      <c r="F19" s="384" t="s">
        <v>539</v>
      </c>
      <c r="G19" s="384" t="s">
        <v>1013</v>
      </c>
      <c r="H19" s="384" t="s">
        <v>539</v>
      </c>
      <c r="I19" s="384" t="s">
        <v>539</v>
      </c>
      <c r="J19" s="384" t="s">
        <v>539</v>
      </c>
      <c r="K19" s="384" t="s">
        <v>539</v>
      </c>
      <c r="L19" s="384" t="s">
        <v>1013</v>
      </c>
    </row>
    <row r="20" spans="1:12">
      <c r="A20" s="384">
        <v>1101</v>
      </c>
      <c r="B20" s="723" t="s">
        <v>561</v>
      </c>
      <c r="C20" s="723"/>
      <c r="D20" s="384" t="s">
        <v>562</v>
      </c>
      <c r="E20" s="384" t="s">
        <v>1014</v>
      </c>
      <c r="F20" s="384" t="s">
        <v>539</v>
      </c>
      <c r="G20" s="384" t="s">
        <v>1015</v>
      </c>
      <c r="H20" s="384" t="s">
        <v>539</v>
      </c>
      <c r="I20" s="384" t="s">
        <v>539</v>
      </c>
      <c r="J20" s="384" t="s">
        <v>539</v>
      </c>
      <c r="K20" s="384" t="s">
        <v>539</v>
      </c>
      <c r="L20" s="384" t="s">
        <v>1015</v>
      </c>
    </row>
    <row r="21" spans="1:12">
      <c r="A21" s="384">
        <v>1103</v>
      </c>
      <c r="B21" s="723" t="s">
        <v>563</v>
      </c>
      <c r="C21" s="723"/>
      <c r="D21" s="384" t="s">
        <v>564</v>
      </c>
      <c r="E21" s="384" t="s">
        <v>1016</v>
      </c>
      <c r="F21" s="384" t="s">
        <v>539</v>
      </c>
      <c r="G21" s="384" t="s">
        <v>1017</v>
      </c>
      <c r="H21" s="384" t="s">
        <v>1197</v>
      </c>
      <c r="I21" s="384" t="s">
        <v>539</v>
      </c>
      <c r="J21" s="384" t="s">
        <v>1197</v>
      </c>
      <c r="K21" s="384" t="s">
        <v>539</v>
      </c>
      <c r="L21" s="384" t="s">
        <v>1198</v>
      </c>
    </row>
    <row r="22" spans="1:12">
      <c r="A22" s="384">
        <v>1104</v>
      </c>
      <c r="B22" s="723" t="s">
        <v>565</v>
      </c>
      <c r="C22" s="723"/>
      <c r="D22" s="384" t="s">
        <v>566</v>
      </c>
      <c r="E22" s="384" t="s">
        <v>859</v>
      </c>
      <c r="F22" s="384" t="s">
        <v>539</v>
      </c>
      <c r="G22" s="384" t="s">
        <v>860</v>
      </c>
      <c r="H22" s="384" t="s">
        <v>860</v>
      </c>
      <c r="I22" s="384" t="s">
        <v>539</v>
      </c>
      <c r="J22" s="384" t="s">
        <v>860</v>
      </c>
      <c r="K22" s="384" t="s">
        <v>539</v>
      </c>
      <c r="L22" s="384" t="s">
        <v>539</v>
      </c>
    </row>
    <row r="23" spans="1:12">
      <c r="A23" s="384">
        <v>1121</v>
      </c>
      <c r="B23" s="723" t="s">
        <v>567</v>
      </c>
      <c r="C23" s="723"/>
      <c r="D23" s="384" t="s">
        <v>568</v>
      </c>
      <c r="E23" s="384" t="s">
        <v>1021</v>
      </c>
      <c r="F23" s="384" t="s">
        <v>539</v>
      </c>
      <c r="G23" s="384" t="s">
        <v>1022</v>
      </c>
      <c r="H23" s="384" t="s">
        <v>1199</v>
      </c>
      <c r="I23" s="384" t="s">
        <v>539</v>
      </c>
      <c r="J23" s="384" t="s">
        <v>1199</v>
      </c>
      <c r="K23" s="384" t="s">
        <v>539</v>
      </c>
      <c r="L23" s="384" t="s">
        <v>1200</v>
      </c>
    </row>
    <row r="24" spans="1:12">
      <c r="A24" s="384">
        <v>1122</v>
      </c>
      <c r="B24" s="723" t="s">
        <v>569</v>
      </c>
      <c r="C24" s="723"/>
      <c r="D24" s="384" t="s">
        <v>570</v>
      </c>
      <c r="E24" s="384" t="s">
        <v>1026</v>
      </c>
      <c r="F24" s="384" t="s">
        <v>539</v>
      </c>
      <c r="G24" s="384" t="s">
        <v>1027</v>
      </c>
      <c r="H24" s="384" t="s">
        <v>539</v>
      </c>
      <c r="I24" s="384" t="s">
        <v>539</v>
      </c>
      <c r="J24" s="384" t="s">
        <v>539</v>
      </c>
      <c r="K24" s="384" t="s">
        <v>539</v>
      </c>
      <c r="L24" s="384" t="s">
        <v>1027</v>
      </c>
    </row>
    <row r="25" spans="1:12">
      <c r="A25" s="384">
        <v>1123</v>
      </c>
      <c r="B25" s="723" t="s">
        <v>571</v>
      </c>
      <c r="C25" s="723"/>
      <c r="D25" s="384" t="s">
        <v>572</v>
      </c>
      <c r="E25" s="384" t="s">
        <v>789</v>
      </c>
      <c r="F25" s="384" t="s">
        <v>539</v>
      </c>
      <c r="G25" s="384" t="s">
        <v>790</v>
      </c>
      <c r="H25" s="384" t="s">
        <v>790</v>
      </c>
      <c r="I25" s="384" t="s">
        <v>539</v>
      </c>
      <c r="J25" s="384" t="s">
        <v>790</v>
      </c>
      <c r="K25" s="384" t="s">
        <v>539</v>
      </c>
      <c r="L25" s="384" t="s">
        <v>539</v>
      </c>
    </row>
    <row r="26" spans="1:12">
      <c r="A26" s="384">
        <v>1124</v>
      </c>
      <c r="B26" s="723" t="s">
        <v>573</v>
      </c>
      <c r="C26" s="723"/>
      <c r="D26" s="384" t="s">
        <v>574</v>
      </c>
      <c r="E26" s="384" t="s">
        <v>1029</v>
      </c>
      <c r="F26" s="384" t="s">
        <v>539</v>
      </c>
      <c r="G26" s="384" t="s">
        <v>1030</v>
      </c>
      <c r="H26" s="384" t="s">
        <v>1201</v>
      </c>
      <c r="I26" s="384" t="s">
        <v>539</v>
      </c>
      <c r="J26" s="384" t="s">
        <v>1201</v>
      </c>
      <c r="K26" s="384" t="s">
        <v>539</v>
      </c>
      <c r="L26" s="384" t="s">
        <v>1202</v>
      </c>
    </row>
    <row r="27" spans="1:12">
      <c r="A27" s="384">
        <v>1180</v>
      </c>
      <c r="B27" s="723" t="s">
        <v>575</v>
      </c>
      <c r="C27" s="723"/>
      <c r="D27" s="384" t="s">
        <v>576</v>
      </c>
      <c r="E27" s="384" t="s">
        <v>539</v>
      </c>
      <c r="F27" s="384" t="s">
        <v>539</v>
      </c>
      <c r="G27" s="384" t="s">
        <v>576</v>
      </c>
      <c r="H27" s="384" t="s">
        <v>539</v>
      </c>
      <c r="I27" s="384" t="s">
        <v>539</v>
      </c>
      <c r="J27" s="384" t="s">
        <v>539</v>
      </c>
      <c r="K27" s="384" t="s">
        <v>539</v>
      </c>
      <c r="L27" s="384" t="s">
        <v>576</v>
      </c>
    </row>
    <row r="28" spans="1:12">
      <c r="A28" s="384">
        <v>1181</v>
      </c>
      <c r="B28" s="723" t="s">
        <v>577</v>
      </c>
      <c r="C28" s="723"/>
      <c r="D28" s="384" t="s">
        <v>578</v>
      </c>
      <c r="E28" s="384" t="s">
        <v>1034</v>
      </c>
      <c r="F28" s="384" t="s">
        <v>539</v>
      </c>
      <c r="G28" s="384" t="s">
        <v>1035</v>
      </c>
      <c r="H28" s="384" t="s">
        <v>539</v>
      </c>
      <c r="I28" s="384" t="s">
        <v>539</v>
      </c>
      <c r="J28" s="384" t="s">
        <v>539</v>
      </c>
      <c r="K28" s="384" t="s">
        <v>539</v>
      </c>
      <c r="L28" s="384" t="s">
        <v>1035</v>
      </c>
    </row>
    <row r="29" spans="1:12">
      <c r="A29" s="384">
        <v>1182</v>
      </c>
      <c r="B29" s="723" t="s">
        <v>579</v>
      </c>
      <c r="C29" s="723"/>
      <c r="D29" s="384" t="s">
        <v>580</v>
      </c>
      <c r="E29" s="384" t="s">
        <v>1036</v>
      </c>
      <c r="F29" s="384" t="s">
        <v>539</v>
      </c>
      <c r="G29" s="384" t="s">
        <v>1037</v>
      </c>
      <c r="H29" s="384" t="s">
        <v>581</v>
      </c>
      <c r="I29" s="384" t="s">
        <v>582</v>
      </c>
      <c r="J29" s="384" t="s">
        <v>583</v>
      </c>
      <c r="K29" s="384" t="s">
        <v>539</v>
      </c>
      <c r="L29" s="384" t="s">
        <v>1203</v>
      </c>
    </row>
    <row r="30" spans="1:12">
      <c r="A30" s="384">
        <v>1184</v>
      </c>
      <c r="B30" s="723" t="s">
        <v>584</v>
      </c>
      <c r="C30" s="723"/>
      <c r="D30" s="384" t="s">
        <v>585</v>
      </c>
      <c r="E30" s="384" t="s">
        <v>1039</v>
      </c>
      <c r="F30" s="384" t="s">
        <v>539</v>
      </c>
      <c r="G30" s="384" t="s">
        <v>1040</v>
      </c>
      <c r="H30" s="384" t="s">
        <v>1204</v>
      </c>
      <c r="I30" s="384" t="s">
        <v>586</v>
      </c>
      <c r="J30" s="384" t="s">
        <v>1205</v>
      </c>
      <c r="K30" s="384" t="s">
        <v>539</v>
      </c>
      <c r="L30" s="384" t="s">
        <v>1206</v>
      </c>
    </row>
    <row r="31" spans="1:12">
      <c r="A31" s="384">
        <v>1186</v>
      </c>
      <c r="B31" s="723" t="s">
        <v>587</v>
      </c>
      <c r="C31" s="723"/>
      <c r="D31" s="384" t="s">
        <v>588</v>
      </c>
      <c r="E31" s="384" t="s">
        <v>1044</v>
      </c>
      <c r="F31" s="384" t="s">
        <v>539</v>
      </c>
      <c r="G31" s="384" t="s">
        <v>1045</v>
      </c>
      <c r="H31" s="384" t="s">
        <v>539</v>
      </c>
      <c r="I31" s="384" t="s">
        <v>539</v>
      </c>
      <c r="J31" s="384" t="s">
        <v>539</v>
      </c>
      <c r="K31" s="384" t="s">
        <v>539</v>
      </c>
      <c r="L31" s="384" t="s">
        <v>1045</v>
      </c>
    </row>
    <row r="32" spans="1:12">
      <c r="A32" s="384">
        <v>1187</v>
      </c>
      <c r="B32" s="723" t="s">
        <v>589</v>
      </c>
      <c r="C32" s="723"/>
      <c r="D32" s="384" t="s">
        <v>590</v>
      </c>
      <c r="E32" s="384" t="s">
        <v>861</v>
      </c>
      <c r="F32" s="384" t="s">
        <v>539</v>
      </c>
      <c r="G32" s="384" t="s">
        <v>862</v>
      </c>
      <c r="H32" s="384" t="s">
        <v>539</v>
      </c>
      <c r="I32" s="384" t="s">
        <v>539</v>
      </c>
      <c r="J32" s="384" t="s">
        <v>539</v>
      </c>
      <c r="K32" s="384" t="s">
        <v>539</v>
      </c>
      <c r="L32" s="384" t="s">
        <v>862</v>
      </c>
    </row>
    <row r="33" spans="1:12">
      <c r="A33" s="384">
        <v>1188</v>
      </c>
      <c r="B33" s="723" t="s">
        <v>591</v>
      </c>
      <c r="C33" s="723"/>
      <c r="D33" s="384" t="s">
        <v>592</v>
      </c>
      <c r="E33" s="384" t="s">
        <v>1046</v>
      </c>
      <c r="F33" s="384" t="s">
        <v>539</v>
      </c>
      <c r="G33" s="384" t="s">
        <v>1047</v>
      </c>
      <c r="H33" s="384" t="s">
        <v>1207</v>
      </c>
      <c r="I33" s="384" t="s">
        <v>539</v>
      </c>
      <c r="J33" s="384" t="s">
        <v>1207</v>
      </c>
      <c r="K33" s="384" t="s">
        <v>539</v>
      </c>
      <c r="L33" s="384" t="s">
        <v>1208</v>
      </c>
    </row>
    <row r="34" spans="1:12">
      <c r="A34" s="384">
        <v>1190</v>
      </c>
      <c r="B34" s="723" t="s">
        <v>593</v>
      </c>
      <c r="C34" s="723"/>
      <c r="D34" s="384" t="s">
        <v>594</v>
      </c>
      <c r="E34" s="384" t="s">
        <v>1049</v>
      </c>
      <c r="F34" s="384" t="s">
        <v>539</v>
      </c>
      <c r="G34" s="384" t="s">
        <v>1050</v>
      </c>
      <c r="H34" s="384" t="s">
        <v>1051</v>
      </c>
      <c r="I34" s="384" t="s">
        <v>539</v>
      </c>
      <c r="J34" s="384" t="s">
        <v>1051</v>
      </c>
      <c r="K34" s="384" t="s">
        <v>539</v>
      </c>
      <c r="L34" s="384" t="s">
        <v>1209</v>
      </c>
    </row>
    <row r="35" spans="1:12">
      <c r="A35" s="384">
        <v>1500</v>
      </c>
      <c r="B35" s="723" t="s">
        <v>154</v>
      </c>
      <c r="C35" s="723"/>
      <c r="D35" s="384" t="s">
        <v>596</v>
      </c>
      <c r="E35" s="384" t="s">
        <v>1054</v>
      </c>
      <c r="F35" s="384" t="s">
        <v>539</v>
      </c>
      <c r="G35" s="384" t="s">
        <v>1055</v>
      </c>
      <c r="H35" s="384" t="s">
        <v>1210</v>
      </c>
      <c r="I35" s="384" t="s">
        <v>539</v>
      </c>
      <c r="J35" s="384" t="s">
        <v>1210</v>
      </c>
      <c r="K35" s="384" t="s">
        <v>539</v>
      </c>
      <c r="L35" s="384" t="s">
        <v>1211</v>
      </c>
    </row>
    <row r="36" spans="1:12">
      <c r="A36" s="384">
        <v>3812</v>
      </c>
      <c r="B36" s="723" t="s">
        <v>597</v>
      </c>
      <c r="C36" s="723"/>
      <c r="D36" s="384" t="s">
        <v>598</v>
      </c>
      <c r="E36" s="384" t="s">
        <v>1059</v>
      </c>
      <c r="F36" s="384" t="s">
        <v>539</v>
      </c>
      <c r="G36" s="384" t="s">
        <v>1060</v>
      </c>
      <c r="H36" s="384" t="s">
        <v>539</v>
      </c>
      <c r="I36" s="384" t="s">
        <v>539</v>
      </c>
      <c r="J36" s="384" t="s">
        <v>539</v>
      </c>
      <c r="K36" s="384" t="s">
        <v>539</v>
      </c>
      <c r="L36" s="384" t="s">
        <v>1060</v>
      </c>
    </row>
    <row r="37" spans="1:12">
      <c r="A37" s="384">
        <v>3813</v>
      </c>
      <c r="B37" s="723" t="s">
        <v>599</v>
      </c>
      <c r="C37" s="723"/>
      <c r="D37" s="384" t="s">
        <v>600</v>
      </c>
      <c r="E37" s="384" t="s">
        <v>1062</v>
      </c>
      <c r="F37" s="384" t="s">
        <v>539</v>
      </c>
      <c r="G37" s="384" t="s">
        <v>1063</v>
      </c>
      <c r="H37" s="384" t="s">
        <v>539</v>
      </c>
      <c r="I37" s="384" t="s">
        <v>539</v>
      </c>
      <c r="J37" s="384" t="s">
        <v>539</v>
      </c>
      <c r="K37" s="384" t="s">
        <v>539</v>
      </c>
      <c r="L37" s="384" t="s">
        <v>1063</v>
      </c>
    </row>
    <row r="38" spans="1:12">
      <c r="A38" s="384">
        <v>3818</v>
      </c>
      <c r="B38" s="723" t="s">
        <v>601</v>
      </c>
      <c r="C38" s="723"/>
      <c r="D38" s="384" t="s">
        <v>602</v>
      </c>
      <c r="E38" s="384" t="s">
        <v>800</v>
      </c>
      <c r="F38" s="384" t="s">
        <v>539</v>
      </c>
      <c r="G38" s="384" t="s">
        <v>801</v>
      </c>
      <c r="H38" s="384" t="s">
        <v>801</v>
      </c>
      <c r="I38" s="384" t="s">
        <v>539</v>
      </c>
      <c r="J38" s="384" t="s">
        <v>801</v>
      </c>
      <c r="K38" s="384" t="s">
        <v>539</v>
      </c>
      <c r="L38" s="384" t="s">
        <v>539</v>
      </c>
    </row>
    <row r="39" spans="1:12">
      <c r="A39" s="384">
        <v>3819</v>
      </c>
      <c r="B39" s="723" t="s">
        <v>603</v>
      </c>
      <c r="C39" s="723"/>
      <c r="D39" s="384" t="s">
        <v>604</v>
      </c>
      <c r="E39" s="384" t="s">
        <v>1064</v>
      </c>
      <c r="F39" s="384" t="s">
        <v>539</v>
      </c>
      <c r="G39" s="384" t="s">
        <v>1065</v>
      </c>
      <c r="H39" s="384" t="s">
        <v>539</v>
      </c>
      <c r="I39" s="384" t="s">
        <v>539</v>
      </c>
      <c r="J39" s="384" t="s">
        <v>539</v>
      </c>
      <c r="K39" s="384" t="s">
        <v>539</v>
      </c>
      <c r="L39" s="384" t="s">
        <v>1065</v>
      </c>
    </row>
    <row r="40" spans="1:12">
      <c r="A40" s="384">
        <v>3821</v>
      </c>
      <c r="B40" s="723" t="s">
        <v>605</v>
      </c>
      <c r="C40" s="723"/>
      <c r="D40" s="384" t="s">
        <v>606</v>
      </c>
      <c r="E40" s="384" t="s">
        <v>1067</v>
      </c>
      <c r="F40" s="384" t="s">
        <v>539</v>
      </c>
      <c r="G40" s="384" t="s">
        <v>1068</v>
      </c>
      <c r="H40" s="384" t="s">
        <v>539</v>
      </c>
      <c r="I40" s="384" t="s">
        <v>539</v>
      </c>
      <c r="J40" s="384" t="s">
        <v>539</v>
      </c>
      <c r="K40" s="384" t="s">
        <v>539</v>
      </c>
      <c r="L40" s="384" t="s">
        <v>1068</v>
      </c>
    </row>
    <row r="41" spans="1:12">
      <c r="A41" s="384">
        <v>3822</v>
      </c>
      <c r="B41" s="723" t="s">
        <v>607</v>
      </c>
      <c r="C41" s="723"/>
      <c r="D41" s="384" t="s">
        <v>608</v>
      </c>
      <c r="E41" s="384" t="s">
        <v>1069</v>
      </c>
      <c r="F41" s="384" t="s">
        <v>539</v>
      </c>
      <c r="G41" s="384" t="s">
        <v>1070</v>
      </c>
      <c r="H41" s="384" t="s">
        <v>803</v>
      </c>
      <c r="I41" s="384" t="s">
        <v>804</v>
      </c>
      <c r="J41" s="384" t="s">
        <v>805</v>
      </c>
      <c r="K41" s="384" t="s">
        <v>539</v>
      </c>
      <c r="L41" s="384" t="s">
        <v>1071</v>
      </c>
    </row>
    <row r="42" spans="1:12">
      <c r="A42" s="384">
        <v>3826</v>
      </c>
      <c r="B42" s="723" t="s">
        <v>609</v>
      </c>
      <c r="C42" s="723"/>
      <c r="D42" s="384" t="s">
        <v>610</v>
      </c>
      <c r="E42" s="384" t="s">
        <v>611</v>
      </c>
      <c r="F42" s="384" t="s">
        <v>539</v>
      </c>
      <c r="G42" s="384" t="s">
        <v>612</v>
      </c>
      <c r="H42" s="384" t="s">
        <v>539</v>
      </c>
      <c r="I42" s="384" t="s">
        <v>539</v>
      </c>
      <c r="J42" s="384" t="s">
        <v>539</v>
      </c>
      <c r="K42" s="384" t="s">
        <v>539</v>
      </c>
      <c r="L42" s="384" t="s">
        <v>612</v>
      </c>
    </row>
    <row r="43" spans="1:12">
      <c r="A43" s="384">
        <v>3827</v>
      </c>
      <c r="B43" s="723" t="s">
        <v>613</v>
      </c>
      <c r="C43" s="723"/>
      <c r="D43" s="384" t="s">
        <v>614</v>
      </c>
      <c r="E43" s="384" t="s">
        <v>615</v>
      </c>
      <c r="F43" s="384" t="s">
        <v>539</v>
      </c>
      <c r="G43" s="384" t="s">
        <v>616</v>
      </c>
      <c r="H43" s="384" t="s">
        <v>617</v>
      </c>
      <c r="I43" s="384" t="s">
        <v>539</v>
      </c>
      <c r="J43" s="384" t="s">
        <v>617</v>
      </c>
      <c r="K43" s="384" t="s">
        <v>539</v>
      </c>
      <c r="L43" s="384" t="s">
        <v>618</v>
      </c>
    </row>
    <row r="44" spans="1:12">
      <c r="A44" s="384">
        <v>3831</v>
      </c>
      <c r="B44" s="723" t="s">
        <v>619</v>
      </c>
      <c r="C44" s="723"/>
      <c r="D44" s="384" t="s">
        <v>620</v>
      </c>
      <c r="E44" s="384" t="s">
        <v>1072</v>
      </c>
      <c r="F44" s="384" t="s">
        <v>539</v>
      </c>
      <c r="G44" s="384" t="s">
        <v>1073</v>
      </c>
      <c r="H44" s="384" t="s">
        <v>539</v>
      </c>
      <c r="I44" s="384" t="s">
        <v>621</v>
      </c>
      <c r="J44" s="384" t="s">
        <v>621</v>
      </c>
      <c r="K44" s="384" t="s">
        <v>539</v>
      </c>
      <c r="L44" s="384" t="s">
        <v>1212</v>
      </c>
    </row>
    <row r="45" spans="1:12">
      <c r="A45" s="384">
        <v>3832</v>
      </c>
      <c r="B45" s="723" t="s">
        <v>622</v>
      </c>
      <c r="C45" s="723"/>
      <c r="D45" s="384" t="s">
        <v>623</v>
      </c>
      <c r="E45" s="384" t="s">
        <v>1075</v>
      </c>
      <c r="F45" s="384" t="s">
        <v>539</v>
      </c>
      <c r="G45" s="384" t="s">
        <v>1076</v>
      </c>
      <c r="H45" s="384" t="s">
        <v>733</v>
      </c>
      <c r="I45" s="384" t="s">
        <v>624</v>
      </c>
      <c r="J45" s="384" t="s">
        <v>734</v>
      </c>
      <c r="K45" s="384" t="s">
        <v>539</v>
      </c>
      <c r="L45" s="384" t="s">
        <v>1213</v>
      </c>
    </row>
    <row r="46" spans="1:12">
      <c r="A46" s="384">
        <v>3833</v>
      </c>
      <c r="B46" s="723" t="s">
        <v>625</v>
      </c>
      <c r="C46" s="723"/>
      <c r="D46" s="384" t="s">
        <v>626</v>
      </c>
      <c r="E46" s="384" t="s">
        <v>1078</v>
      </c>
      <c r="F46" s="384" t="s">
        <v>539</v>
      </c>
      <c r="G46" s="384" t="s">
        <v>1079</v>
      </c>
      <c r="H46" s="384" t="s">
        <v>539</v>
      </c>
      <c r="I46" s="384" t="s">
        <v>539</v>
      </c>
      <c r="J46" s="384" t="s">
        <v>539</v>
      </c>
      <c r="K46" s="384" t="s">
        <v>539</v>
      </c>
      <c r="L46" s="384" t="s">
        <v>1079</v>
      </c>
    </row>
    <row r="47" spans="1:12">
      <c r="A47" s="384">
        <v>3836</v>
      </c>
      <c r="B47" s="723" t="s">
        <v>627</v>
      </c>
      <c r="C47" s="723"/>
      <c r="D47" s="384" t="s">
        <v>539</v>
      </c>
      <c r="E47" s="384" t="s">
        <v>1081</v>
      </c>
      <c r="F47" s="384" t="s">
        <v>539</v>
      </c>
      <c r="G47" s="384" t="s">
        <v>1081</v>
      </c>
      <c r="H47" s="384" t="s">
        <v>865</v>
      </c>
      <c r="I47" s="384" t="s">
        <v>539</v>
      </c>
      <c r="J47" s="384" t="s">
        <v>865</v>
      </c>
      <c r="K47" s="384" t="s">
        <v>539</v>
      </c>
      <c r="L47" s="384" t="s">
        <v>1082</v>
      </c>
    </row>
    <row r="48" spans="1:12">
      <c r="A48" s="384">
        <v>3838</v>
      </c>
      <c r="B48" s="723" t="s">
        <v>817</v>
      </c>
      <c r="C48" s="723"/>
      <c r="D48" s="384" t="s">
        <v>539</v>
      </c>
      <c r="E48" s="384" t="s">
        <v>1083</v>
      </c>
      <c r="F48" s="384" t="s">
        <v>539</v>
      </c>
      <c r="G48" s="384" t="s">
        <v>1083</v>
      </c>
      <c r="H48" s="384" t="s">
        <v>539</v>
      </c>
      <c r="I48" s="384" t="s">
        <v>539</v>
      </c>
      <c r="J48" s="384" t="s">
        <v>539</v>
      </c>
      <c r="K48" s="384" t="s">
        <v>539</v>
      </c>
      <c r="L48" s="384" t="s">
        <v>1083</v>
      </c>
    </row>
    <row r="49" spans="1:12">
      <c r="A49" s="384">
        <v>3839</v>
      </c>
      <c r="B49" s="723" t="s">
        <v>818</v>
      </c>
      <c r="C49" s="723"/>
      <c r="D49" s="384" t="s">
        <v>539</v>
      </c>
      <c r="E49" s="384" t="s">
        <v>1084</v>
      </c>
      <c r="F49" s="384" t="s">
        <v>539</v>
      </c>
      <c r="G49" s="384" t="s">
        <v>1084</v>
      </c>
      <c r="H49" s="384" t="s">
        <v>539</v>
      </c>
      <c r="I49" s="384" t="s">
        <v>539</v>
      </c>
      <c r="J49" s="384" t="s">
        <v>539</v>
      </c>
      <c r="K49" s="384" t="s">
        <v>539</v>
      </c>
      <c r="L49" s="384" t="s">
        <v>1084</v>
      </c>
    </row>
    <row r="50" spans="1:12">
      <c r="A50" s="384">
        <v>4000</v>
      </c>
      <c r="B50" s="723" t="s">
        <v>628</v>
      </c>
      <c r="C50" s="723"/>
      <c r="D50" s="384" t="s">
        <v>629</v>
      </c>
      <c r="E50" s="384" t="s">
        <v>539</v>
      </c>
      <c r="F50" s="384" t="s">
        <v>539</v>
      </c>
      <c r="G50" s="384" t="s">
        <v>629</v>
      </c>
      <c r="H50" s="384" t="s">
        <v>539</v>
      </c>
      <c r="I50" s="384" t="s">
        <v>539</v>
      </c>
      <c r="J50" s="384" t="s">
        <v>539</v>
      </c>
      <c r="K50" s="384" t="s">
        <v>539</v>
      </c>
      <c r="L50" s="384" t="s">
        <v>629</v>
      </c>
    </row>
    <row r="51" spans="1:12">
      <c r="A51" s="384">
        <v>4001</v>
      </c>
      <c r="B51" s="723" t="s">
        <v>630</v>
      </c>
      <c r="C51" s="723"/>
      <c r="D51" s="384" t="s">
        <v>631</v>
      </c>
      <c r="E51" s="384" t="s">
        <v>1085</v>
      </c>
      <c r="F51" s="384" t="s">
        <v>539</v>
      </c>
      <c r="G51" s="384" t="s">
        <v>1086</v>
      </c>
      <c r="H51" s="384" t="s">
        <v>873</v>
      </c>
      <c r="I51" s="384" t="s">
        <v>539</v>
      </c>
      <c r="J51" s="384" t="s">
        <v>873</v>
      </c>
      <c r="K51" s="384" t="s">
        <v>539</v>
      </c>
      <c r="L51" s="384" t="s">
        <v>1214</v>
      </c>
    </row>
    <row r="52" spans="1:12">
      <c r="A52" s="384">
        <v>4011</v>
      </c>
      <c r="B52" s="723" t="s">
        <v>632</v>
      </c>
      <c r="C52" s="723"/>
      <c r="D52" s="384" t="s">
        <v>633</v>
      </c>
      <c r="E52" s="384" t="s">
        <v>1088</v>
      </c>
      <c r="F52" s="384" t="s">
        <v>539</v>
      </c>
      <c r="G52" s="384" t="s">
        <v>1089</v>
      </c>
      <c r="H52" s="384" t="s">
        <v>1090</v>
      </c>
      <c r="I52" s="384" t="s">
        <v>539</v>
      </c>
      <c r="J52" s="384" t="s">
        <v>1090</v>
      </c>
      <c r="K52" s="384" t="s">
        <v>539</v>
      </c>
      <c r="L52" s="384" t="s">
        <v>1215</v>
      </c>
    </row>
    <row r="53" spans="1:12">
      <c r="A53" s="384">
        <v>4030</v>
      </c>
      <c r="B53" s="723" t="s">
        <v>634</v>
      </c>
      <c r="C53" s="723"/>
      <c r="D53" s="384" t="s">
        <v>635</v>
      </c>
      <c r="E53" s="384" t="s">
        <v>539</v>
      </c>
      <c r="F53" s="384" t="s">
        <v>539</v>
      </c>
      <c r="G53" s="384" t="s">
        <v>635</v>
      </c>
      <c r="H53" s="384" t="s">
        <v>539</v>
      </c>
      <c r="I53" s="384" t="s">
        <v>539</v>
      </c>
      <c r="J53" s="384" t="s">
        <v>539</v>
      </c>
      <c r="K53" s="384" t="s">
        <v>539</v>
      </c>
      <c r="L53" s="384" t="s">
        <v>635</v>
      </c>
    </row>
    <row r="54" spans="1:12">
      <c r="A54" s="384">
        <v>4050</v>
      </c>
      <c r="B54" s="723" t="s">
        <v>636</v>
      </c>
      <c r="C54" s="723"/>
      <c r="D54" s="384" t="s">
        <v>637</v>
      </c>
      <c r="E54" s="384" t="s">
        <v>1093</v>
      </c>
      <c r="F54" s="384" t="s">
        <v>539</v>
      </c>
      <c r="G54" s="384" t="s">
        <v>1094</v>
      </c>
      <c r="H54" s="384" t="s">
        <v>1216</v>
      </c>
      <c r="I54" s="384" t="s">
        <v>539</v>
      </c>
      <c r="J54" s="384" t="s">
        <v>1216</v>
      </c>
      <c r="K54" s="384" t="s">
        <v>539</v>
      </c>
      <c r="L54" s="384" t="s">
        <v>1217</v>
      </c>
    </row>
    <row r="55" spans="1:12">
      <c r="A55" s="384">
        <v>4051</v>
      </c>
      <c r="B55" s="723" t="s">
        <v>638</v>
      </c>
      <c r="C55" s="723"/>
      <c r="D55" s="384" t="s">
        <v>639</v>
      </c>
      <c r="E55" s="384" t="s">
        <v>1098</v>
      </c>
      <c r="F55" s="384" t="s">
        <v>539</v>
      </c>
      <c r="G55" s="384" t="s">
        <v>1099</v>
      </c>
      <c r="H55" s="384" t="s">
        <v>539</v>
      </c>
      <c r="I55" s="384" t="s">
        <v>539</v>
      </c>
      <c r="J55" s="384" t="s">
        <v>539</v>
      </c>
      <c r="K55" s="384" t="s">
        <v>539</v>
      </c>
      <c r="L55" s="384" t="s">
        <v>1099</v>
      </c>
    </row>
    <row r="56" spans="1:12">
      <c r="A56" s="384">
        <v>4080</v>
      </c>
      <c r="B56" s="723" t="s">
        <v>640</v>
      </c>
      <c r="C56" s="723"/>
      <c r="D56" s="384" t="s">
        <v>641</v>
      </c>
      <c r="E56" s="384" t="s">
        <v>539</v>
      </c>
      <c r="F56" s="384" t="s">
        <v>539</v>
      </c>
      <c r="G56" s="384" t="s">
        <v>641</v>
      </c>
      <c r="H56" s="384" t="s">
        <v>539</v>
      </c>
      <c r="I56" s="384" t="s">
        <v>539</v>
      </c>
      <c r="J56" s="384" t="s">
        <v>539</v>
      </c>
      <c r="K56" s="384" t="s">
        <v>539</v>
      </c>
      <c r="L56" s="384" t="s">
        <v>641</v>
      </c>
    </row>
    <row r="57" spans="1:12">
      <c r="A57" s="384">
        <v>4090</v>
      </c>
      <c r="B57" s="723" t="s">
        <v>642</v>
      </c>
      <c r="C57" s="723"/>
      <c r="D57" s="384" t="s">
        <v>643</v>
      </c>
      <c r="E57" s="384" t="s">
        <v>1100</v>
      </c>
      <c r="F57" s="384" t="s">
        <v>539</v>
      </c>
      <c r="G57" s="384" t="s">
        <v>1101</v>
      </c>
      <c r="H57" s="384" t="s">
        <v>1102</v>
      </c>
      <c r="I57" s="384" t="s">
        <v>539</v>
      </c>
      <c r="J57" s="384" t="s">
        <v>1102</v>
      </c>
      <c r="K57" s="384" t="s">
        <v>539</v>
      </c>
      <c r="L57" s="384" t="s">
        <v>1218</v>
      </c>
    </row>
    <row r="58" spans="1:12">
      <c r="A58" s="384">
        <v>4160</v>
      </c>
      <c r="B58" s="723" t="s">
        <v>644</v>
      </c>
      <c r="C58" s="723"/>
      <c r="D58" s="384" t="s">
        <v>645</v>
      </c>
      <c r="E58" s="384" t="s">
        <v>1105</v>
      </c>
      <c r="F58" s="384" t="s">
        <v>539</v>
      </c>
      <c r="G58" s="384" t="s">
        <v>1106</v>
      </c>
      <c r="H58" s="384" t="s">
        <v>539</v>
      </c>
      <c r="I58" s="384" t="s">
        <v>539</v>
      </c>
      <c r="J58" s="384" t="s">
        <v>539</v>
      </c>
      <c r="K58" s="384" t="s">
        <v>539</v>
      </c>
      <c r="L58" s="384" t="s">
        <v>1106</v>
      </c>
    </row>
    <row r="59" spans="1:12">
      <c r="A59" s="384">
        <v>4170</v>
      </c>
      <c r="B59" s="723" t="s">
        <v>646</v>
      </c>
      <c r="C59" s="723"/>
      <c r="D59" s="384" t="s">
        <v>647</v>
      </c>
      <c r="E59" s="384" t="s">
        <v>1107</v>
      </c>
      <c r="F59" s="384" t="s">
        <v>539</v>
      </c>
      <c r="G59" s="384" t="s">
        <v>1108</v>
      </c>
      <c r="H59" s="384" t="s">
        <v>1219</v>
      </c>
      <c r="I59" s="384" t="s">
        <v>539</v>
      </c>
      <c r="J59" s="384" t="s">
        <v>1219</v>
      </c>
      <c r="K59" s="384" t="s">
        <v>539</v>
      </c>
      <c r="L59" s="384" t="s">
        <v>1220</v>
      </c>
    </row>
    <row r="60" spans="1:12">
      <c r="A60" s="384">
        <v>4190</v>
      </c>
      <c r="B60" s="723" t="s">
        <v>648</v>
      </c>
      <c r="C60" s="723"/>
      <c r="D60" s="384" t="s">
        <v>649</v>
      </c>
      <c r="E60" s="384" t="s">
        <v>1111</v>
      </c>
      <c r="F60" s="384" t="s">
        <v>539</v>
      </c>
      <c r="G60" s="384" t="s">
        <v>1112</v>
      </c>
      <c r="H60" s="384" t="s">
        <v>735</v>
      </c>
      <c r="I60" s="384" t="s">
        <v>539</v>
      </c>
      <c r="J60" s="384" t="s">
        <v>735</v>
      </c>
      <c r="K60" s="384" t="s">
        <v>539</v>
      </c>
      <c r="L60" s="384" t="s">
        <v>1113</v>
      </c>
    </row>
    <row r="61" spans="1:12">
      <c r="A61" s="384">
        <v>4220</v>
      </c>
      <c r="B61" s="723" t="s">
        <v>650</v>
      </c>
      <c r="C61" s="723"/>
      <c r="D61" s="384" t="s">
        <v>651</v>
      </c>
      <c r="E61" s="384" t="s">
        <v>1114</v>
      </c>
      <c r="F61" s="384" t="s">
        <v>539</v>
      </c>
      <c r="G61" s="384" t="s">
        <v>1115</v>
      </c>
      <c r="H61" s="384" t="s">
        <v>1221</v>
      </c>
      <c r="I61" s="384" t="s">
        <v>539</v>
      </c>
      <c r="J61" s="384" t="s">
        <v>1221</v>
      </c>
      <c r="K61" s="384" t="s">
        <v>539</v>
      </c>
      <c r="L61" s="384" t="s">
        <v>1222</v>
      </c>
    </row>
    <row r="62" spans="1:12">
      <c r="A62" s="384">
        <v>4234</v>
      </c>
      <c r="B62" s="723" t="s">
        <v>652</v>
      </c>
      <c r="C62" s="723"/>
      <c r="D62" s="384" t="s">
        <v>653</v>
      </c>
      <c r="E62" s="384" t="s">
        <v>539</v>
      </c>
      <c r="F62" s="384" t="s">
        <v>539</v>
      </c>
      <c r="G62" s="384" t="s">
        <v>653</v>
      </c>
      <c r="H62" s="384" t="s">
        <v>539</v>
      </c>
      <c r="I62" s="384" t="s">
        <v>539</v>
      </c>
      <c r="J62" s="384" t="s">
        <v>539</v>
      </c>
      <c r="K62" s="384" t="s">
        <v>539</v>
      </c>
      <c r="L62" s="384" t="s">
        <v>653</v>
      </c>
    </row>
    <row r="63" spans="1:12">
      <c r="A63" s="384">
        <v>4270</v>
      </c>
      <c r="B63" s="723" t="s">
        <v>654</v>
      </c>
      <c r="C63" s="723"/>
      <c r="D63" s="384" t="s">
        <v>655</v>
      </c>
      <c r="E63" s="384" t="s">
        <v>1118</v>
      </c>
      <c r="F63" s="384" t="s">
        <v>539</v>
      </c>
      <c r="G63" s="384" t="s">
        <v>1119</v>
      </c>
      <c r="H63" s="384" t="s">
        <v>539</v>
      </c>
      <c r="I63" s="384" t="s">
        <v>539</v>
      </c>
      <c r="J63" s="384" t="s">
        <v>539</v>
      </c>
      <c r="K63" s="384" t="s">
        <v>539</v>
      </c>
      <c r="L63" s="384" t="s">
        <v>1119</v>
      </c>
    </row>
    <row r="64" spans="1:12">
      <c r="A64" s="384">
        <v>4290</v>
      </c>
      <c r="B64" s="723" t="s">
        <v>656</v>
      </c>
      <c r="C64" s="723"/>
      <c r="D64" s="384" t="s">
        <v>657</v>
      </c>
      <c r="E64" s="384" t="s">
        <v>539</v>
      </c>
      <c r="F64" s="384" t="s">
        <v>539</v>
      </c>
      <c r="G64" s="384" t="s">
        <v>657</v>
      </c>
      <c r="H64" s="384" t="s">
        <v>539</v>
      </c>
      <c r="I64" s="384" t="s">
        <v>539</v>
      </c>
      <c r="J64" s="384" t="s">
        <v>539</v>
      </c>
      <c r="K64" s="384" t="s">
        <v>539</v>
      </c>
      <c r="L64" s="384" t="s">
        <v>657</v>
      </c>
    </row>
    <row r="65" spans="1:12">
      <c r="A65" s="384">
        <v>4292</v>
      </c>
      <c r="B65" s="723" t="s">
        <v>658</v>
      </c>
      <c r="C65" s="723"/>
      <c r="D65" s="384" t="s">
        <v>659</v>
      </c>
      <c r="E65" s="384" t="s">
        <v>1121</v>
      </c>
      <c r="F65" s="384" t="s">
        <v>539</v>
      </c>
      <c r="G65" s="384" t="s">
        <v>1122</v>
      </c>
      <c r="H65" s="384" t="s">
        <v>539</v>
      </c>
      <c r="I65" s="384" t="s">
        <v>539</v>
      </c>
      <c r="J65" s="384" t="s">
        <v>539</v>
      </c>
      <c r="K65" s="384" t="s">
        <v>539</v>
      </c>
      <c r="L65" s="384" t="s">
        <v>1122</v>
      </c>
    </row>
    <row r="66" spans="1:12">
      <c r="A66" s="384">
        <v>4293</v>
      </c>
      <c r="B66" s="723" t="s">
        <v>660</v>
      </c>
      <c r="C66" s="723"/>
      <c r="D66" s="384" t="s">
        <v>661</v>
      </c>
      <c r="E66" s="384" t="s">
        <v>1123</v>
      </c>
      <c r="F66" s="384" t="s">
        <v>539</v>
      </c>
      <c r="G66" s="384" t="s">
        <v>1124</v>
      </c>
      <c r="H66" s="384" t="s">
        <v>539</v>
      </c>
      <c r="I66" s="384" t="s">
        <v>539</v>
      </c>
      <c r="J66" s="384" t="s">
        <v>539</v>
      </c>
      <c r="K66" s="384" t="s">
        <v>539</v>
      </c>
      <c r="L66" s="384" t="s">
        <v>1124</v>
      </c>
    </row>
    <row r="67" spans="1:12">
      <c r="A67" s="384">
        <v>4294</v>
      </c>
      <c r="B67" s="723" t="s">
        <v>662</v>
      </c>
      <c r="C67" s="723"/>
      <c r="D67" s="384" t="s">
        <v>663</v>
      </c>
      <c r="E67" s="384" t="s">
        <v>1125</v>
      </c>
      <c r="F67" s="384" t="s">
        <v>539</v>
      </c>
      <c r="G67" s="384" t="s">
        <v>1126</v>
      </c>
      <c r="H67" s="384" t="s">
        <v>539</v>
      </c>
      <c r="I67" s="384" t="s">
        <v>539</v>
      </c>
      <c r="J67" s="384" t="s">
        <v>539</v>
      </c>
      <c r="K67" s="384" t="s">
        <v>539</v>
      </c>
      <c r="L67" s="384" t="s">
        <v>1126</v>
      </c>
    </row>
    <row r="68" spans="1:12">
      <c r="A68" s="384">
        <v>4295</v>
      </c>
      <c r="B68" s="723" t="s">
        <v>664</v>
      </c>
      <c r="C68" s="723"/>
      <c r="D68" s="384" t="s">
        <v>665</v>
      </c>
      <c r="E68" s="384" t="s">
        <v>1128</v>
      </c>
      <c r="F68" s="384" t="s">
        <v>539</v>
      </c>
      <c r="G68" s="384" t="s">
        <v>1129</v>
      </c>
      <c r="H68" s="384" t="s">
        <v>842</v>
      </c>
      <c r="I68" s="384" t="s">
        <v>539</v>
      </c>
      <c r="J68" s="384" t="s">
        <v>842</v>
      </c>
      <c r="K68" s="384" t="s">
        <v>539</v>
      </c>
      <c r="L68" s="384" t="s">
        <v>1223</v>
      </c>
    </row>
    <row r="69" spans="1:12">
      <c r="A69" s="384">
        <v>4500</v>
      </c>
      <c r="B69" s="723" t="s">
        <v>666</v>
      </c>
      <c r="C69" s="723"/>
      <c r="D69" s="384" t="s">
        <v>667</v>
      </c>
      <c r="E69" s="384" t="s">
        <v>1131</v>
      </c>
      <c r="F69" s="384" t="s">
        <v>539</v>
      </c>
      <c r="G69" s="384" t="s">
        <v>1132</v>
      </c>
      <c r="H69" s="384" t="s">
        <v>1224</v>
      </c>
      <c r="I69" s="384" t="s">
        <v>539</v>
      </c>
      <c r="J69" s="384" t="s">
        <v>1224</v>
      </c>
      <c r="K69" s="384" t="s">
        <v>539</v>
      </c>
      <c r="L69" s="384" t="s">
        <v>1225</v>
      </c>
    </row>
    <row r="70" spans="1:12">
      <c r="A70" s="384">
        <v>4501</v>
      </c>
      <c r="B70" s="723" t="s">
        <v>668</v>
      </c>
      <c r="C70" s="723"/>
      <c r="D70" s="384" t="s">
        <v>669</v>
      </c>
      <c r="E70" s="384" t="s">
        <v>1136</v>
      </c>
      <c r="F70" s="384" t="s">
        <v>539</v>
      </c>
      <c r="G70" s="384" t="s">
        <v>1137</v>
      </c>
      <c r="H70" s="384" t="s">
        <v>1226</v>
      </c>
      <c r="I70" s="384" t="s">
        <v>539</v>
      </c>
      <c r="J70" s="384" t="s">
        <v>1226</v>
      </c>
      <c r="K70" s="384" t="s">
        <v>539</v>
      </c>
      <c r="L70" s="384" t="s">
        <v>1227</v>
      </c>
    </row>
    <row r="71" spans="1:12">
      <c r="A71" s="384">
        <v>4502</v>
      </c>
      <c r="B71" s="723" t="s">
        <v>670</v>
      </c>
      <c r="C71" s="723"/>
      <c r="D71" s="384" t="s">
        <v>671</v>
      </c>
      <c r="E71" s="384" t="s">
        <v>1141</v>
      </c>
      <c r="F71" s="384" t="s">
        <v>539</v>
      </c>
      <c r="G71" s="384" t="s">
        <v>1142</v>
      </c>
      <c r="H71" s="384" t="s">
        <v>1228</v>
      </c>
      <c r="I71" s="384" t="s">
        <v>539</v>
      </c>
      <c r="J71" s="384" t="s">
        <v>1228</v>
      </c>
      <c r="K71" s="384" t="s">
        <v>539</v>
      </c>
      <c r="L71" s="384" t="s">
        <v>1229</v>
      </c>
    </row>
    <row r="72" spans="1:12">
      <c r="A72" s="384">
        <v>4503</v>
      </c>
      <c r="B72" s="723" t="s">
        <v>672</v>
      </c>
      <c r="C72" s="723"/>
      <c r="D72" s="384" t="s">
        <v>673</v>
      </c>
      <c r="E72" s="384" t="s">
        <v>1146</v>
      </c>
      <c r="F72" s="384" t="s">
        <v>539</v>
      </c>
      <c r="G72" s="384" t="s">
        <v>1147</v>
      </c>
      <c r="H72" s="384" t="s">
        <v>1230</v>
      </c>
      <c r="I72" s="384" t="s">
        <v>539</v>
      </c>
      <c r="J72" s="384" t="s">
        <v>1230</v>
      </c>
      <c r="K72" s="384" t="s">
        <v>539</v>
      </c>
      <c r="L72" s="384" t="s">
        <v>1231</v>
      </c>
    </row>
    <row r="73" spans="1:12">
      <c r="A73" s="384">
        <v>4504</v>
      </c>
      <c r="B73" s="723" t="s">
        <v>674</v>
      </c>
      <c r="C73" s="723"/>
      <c r="D73" s="384" t="s">
        <v>675</v>
      </c>
      <c r="E73" s="384" t="s">
        <v>1151</v>
      </c>
      <c r="F73" s="384" t="s">
        <v>539</v>
      </c>
      <c r="G73" s="384" t="s">
        <v>1152</v>
      </c>
      <c r="H73" s="384" t="s">
        <v>829</v>
      </c>
      <c r="I73" s="384" t="s">
        <v>539</v>
      </c>
      <c r="J73" s="384" t="s">
        <v>829</v>
      </c>
      <c r="K73" s="384" t="s">
        <v>539</v>
      </c>
      <c r="L73" s="384" t="s">
        <v>1232</v>
      </c>
    </row>
    <row r="74" spans="1:12">
      <c r="A74" s="384">
        <v>4505</v>
      </c>
      <c r="B74" s="723" t="s">
        <v>676</v>
      </c>
      <c r="C74" s="723"/>
      <c r="D74" s="384" t="s">
        <v>677</v>
      </c>
      <c r="E74" s="384" t="s">
        <v>1154</v>
      </c>
      <c r="F74" s="384" t="s">
        <v>539</v>
      </c>
      <c r="G74" s="384" t="s">
        <v>1155</v>
      </c>
      <c r="H74" s="384" t="s">
        <v>875</v>
      </c>
      <c r="I74" s="384" t="s">
        <v>539</v>
      </c>
      <c r="J74" s="384" t="s">
        <v>875</v>
      </c>
      <c r="K74" s="384" t="s">
        <v>539</v>
      </c>
      <c r="L74" s="384" t="s">
        <v>1233</v>
      </c>
    </row>
    <row r="75" spans="1:12">
      <c r="A75" s="384">
        <v>4506</v>
      </c>
      <c r="B75" s="723" t="s">
        <v>678</v>
      </c>
      <c r="C75" s="723"/>
      <c r="D75" s="384" t="s">
        <v>679</v>
      </c>
      <c r="E75" s="384" t="s">
        <v>1158</v>
      </c>
      <c r="F75" s="384" t="s">
        <v>539</v>
      </c>
      <c r="G75" s="384" t="s">
        <v>1159</v>
      </c>
      <c r="H75" s="384" t="s">
        <v>539</v>
      </c>
      <c r="I75" s="384" t="s">
        <v>539</v>
      </c>
      <c r="J75" s="384" t="s">
        <v>539</v>
      </c>
      <c r="K75" s="384" t="s">
        <v>539</v>
      </c>
      <c r="L75" s="384" t="s">
        <v>1159</v>
      </c>
    </row>
    <row r="76" spans="1:12">
      <c r="A76" s="384">
        <v>4507</v>
      </c>
      <c r="B76" s="723" t="s">
        <v>680</v>
      </c>
      <c r="C76" s="723"/>
      <c r="D76" s="384" t="s">
        <v>681</v>
      </c>
      <c r="E76" s="384" t="s">
        <v>1161</v>
      </c>
      <c r="F76" s="384" t="s">
        <v>539</v>
      </c>
      <c r="G76" s="384" t="s">
        <v>1162</v>
      </c>
      <c r="H76" s="384" t="s">
        <v>539</v>
      </c>
      <c r="I76" s="384" t="s">
        <v>539</v>
      </c>
      <c r="J76" s="384" t="s">
        <v>539</v>
      </c>
      <c r="K76" s="384" t="s">
        <v>539</v>
      </c>
      <c r="L76" s="384" t="s">
        <v>1162</v>
      </c>
    </row>
    <row r="77" spans="1:12">
      <c r="A77" s="384">
        <v>4509</v>
      </c>
      <c r="B77" s="723" t="s">
        <v>682</v>
      </c>
      <c r="C77" s="723"/>
      <c r="D77" s="384" t="s">
        <v>683</v>
      </c>
      <c r="E77" s="384" t="s">
        <v>1163</v>
      </c>
      <c r="F77" s="384" t="s">
        <v>539</v>
      </c>
      <c r="G77" s="384" t="s">
        <v>1164</v>
      </c>
      <c r="H77" s="384" t="s">
        <v>539</v>
      </c>
      <c r="I77" s="384" t="s">
        <v>539</v>
      </c>
      <c r="J77" s="384" t="s">
        <v>539</v>
      </c>
      <c r="K77" s="384" t="s">
        <v>539</v>
      </c>
      <c r="L77" s="384" t="s">
        <v>1164</v>
      </c>
    </row>
    <row r="78" spans="1:12">
      <c r="A78" s="384">
        <v>4511</v>
      </c>
      <c r="B78" s="723" t="s">
        <v>684</v>
      </c>
      <c r="C78" s="723"/>
      <c r="D78" s="384" t="s">
        <v>685</v>
      </c>
      <c r="E78" s="384" t="s">
        <v>1165</v>
      </c>
      <c r="F78" s="384" t="s">
        <v>539</v>
      </c>
      <c r="G78" s="384" t="s">
        <v>1166</v>
      </c>
      <c r="H78" s="384" t="s">
        <v>876</v>
      </c>
      <c r="I78" s="384" t="s">
        <v>686</v>
      </c>
      <c r="J78" s="384" t="s">
        <v>877</v>
      </c>
      <c r="K78" s="384" t="s">
        <v>539</v>
      </c>
      <c r="L78" s="384" t="s">
        <v>1234</v>
      </c>
    </row>
    <row r="79" spans="1:12">
      <c r="A79" s="384">
        <v>4512</v>
      </c>
      <c r="B79" s="723" t="s">
        <v>687</v>
      </c>
      <c r="C79" s="723"/>
      <c r="D79" s="384" t="s">
        <v>688</v>
      </c>
      <c r="E79" s="384" t="s">
        <v>1168</v>
      </c>
      <c r="F79" s="384" t="s">
        <v>539</v>
      </c>
      <c r="G79" s="384" t="s">
        <v>1169</v>
      </c>
      <c r="H79" s="384" t="s">
        <v>539</v>
      </c>
      <c r="I79" s="384" t="s">
        <v>539</v>
      </c>
      <c r="J79" s="384" t="s">
        <v>539</v>
      </c>
      <c r="K79" s="384" t="s">
        <v>539</v>
      </c>
      <c r="L79" s="384" t="s">
        <v>1169</v>
      </c>
    </row>
    <row r="80" spans="1:12">
      <c r="A80" s="384">
        <v>4986</v>
      </c>
      <c r="B80" s="723" t="s">
        <v>689</v>
      </c>
      <c r="C80" s="723"/>
      <c r="D80" s="384" t="s">
        <v>690</v>
      </c>
      <c r="E80" s="384" t="s">
        <v>1170</v>
      </c>
      <c r="F80" s="384" t="s">
        <v>539</v>
      </c>
      <c r="G80" s="384" t="s">
        <v>1171</v>
      </c>
      <c r="H80" s="384" t="s">
        <v>539</v>
      </c>
      <c r="I80" s="384" t="s">
        <v>539</v>
      </c>
      <c r="J80" s="384" t="s">
        <v>539</v>
      </c>
      <c r="K80" s="384" t="s">
        <v>539</v>
      </c>
      <c r="L80" s="384" t="s">
        <v>1171</v>
      </c>
    </row>
    <row r="81" spans="1:12">
      <c r="A81" s="384">
        <v>8001</v>
      </c>
      <c r="B81" s="723" t="s">
        <v>691</v>
      </c>
      <c r="C81" s="723"/>
      <c r="D81" s="384" t="s">
        <v>692</v>
      </c>
      <c r="E81" s="384" t="s">
        <v>539</v>
      </c>
      <c r="F81" s="384" t="s">
        <v>539</v>
      </c>
      <c r="G81" s="384" t="s">
        <v>692</v>
      </c>
      <c r="H81" s="384" t="s">
        <v>539</v>
      </c>
      <c r="I81" s="384" t="s">
        <v>539</v>
      </c>
      <c r="J81" s="384" t="s">
        <v>539</v>
      </c>
      <c r="K81" s="384" t="s">
        <v>539</v>
      </c>
      <c r="L81" s="384" t="s">
        <v>692</v>
      </c>
    </row>
    <row r="82" spans="1:12">
      <c r="A82" s="384">
        <v>8024</v>
      </c>
      <c r="B82" s="723" t="s">
        <v>693</v>
      </c>
      <c r="C82" s="723"/>
      <c r="D82" s="384" t="s">
        <v>694</v>
      </c>
      <c r="E82" s="384" t="s">
        <v>539</v>
      </c>
      <c r="F82" s="384" t="s">
        <v>539</v>
      </c>
      <c r="G82" s="384" t="s">
        <v>694</v>
      </c>
      <c r="H82" s="384" t="s">
        <v>539</v>
      </c>
      <c r="I82" s="384" t="s">
        <v>539</v>
      </c>
      <c r="J82" s="384" t="s">
        <v>539</v>
      </c>
      <c r="K82" s="384" t="s">
        <v>539</v>
      </c>
      <c r="L82" s="384" t="s">
        <v>694</v>
      </c>
    </row>
    <row r="83" spans="1:12">
      <c r="A83" s="384">
        <v>8050</v>
      </c>
      <c r="B83" s="723" t="s">
        <v>695</v>
      </c>
      <c r="C83" s="723"/>
      <c r="D83" s="384" t="s">
        <v>696</v>
      </c>
      <c r="E83" s="384" t="s">
        <v>539</v>
      </c>
      <c r="F83" s="384" t="s">
        <v>539</v>
      </c>
      <c r="G83" s="384" t="s">
        <v>696</v>
      </c>
      <c r="H83" s="384" t="s">
        <v>539</v>
      </c>
      <c r="I83" s="384" t="s">
        <v>539</v>
      </c>
      <c r="J83" s="384" t="s">
        <v>539</v>
      </c>
      <c r="K83" s="384" t="s">
        <v>539</v>
      </c>
      <c r="L83" s="384" t="s">
        <v>696</v>
      </c>
    </row>
    <row r="85" spans="1:12">
      <c r="A85" s="724" t="s">
        <v>190</v>
      </c>
      <c r="B85" s="724"/>
      <c r="C85" s="724"/>
      <c r="D85" s="385" t="s">
        <v>697</v>
      </c>
      <c r="E85" s="385" t="s">
        <v>1172</v>
      </c>
      <c r="F85" s="385" t="s">
        <v>968</v>
      </c>
      <c r="G85" s="385" t="s">
        <v>1173</v>
      </c>
      <c r="H85" s="385" t="s">
        <v>1235</v>
      </c>
      <c r="I85" s="385" t="s">
        <v>1236</v>
      </c>
      <c r="J85" s="385" t="s">
        <v>1237</v>
      </c>
      <c r="K85" s="385" t="s">
        <v>968</v>
      </c>
      <c r="L85" s="385" t="s">
        <v>1238</v>
      </c>
    </row>
  </sheetData>
  <mergeCells count="86">
    <mergeCell ref="B10:C10"/>
    <mergeCell ref="D6:D7"/>
    <mergeCell ref="E6:E7"/>
    <mergeCell ref="F6:F7"/>
    <mergeCell ref="G6:G7"/>
    <mergeCell ref="J6:J7"/>
    <mergeCell ref="K6:K7"/>
    <mergeCell ref="L6:L7"/>
    <mergeCell ref="B8:C8"/>
    <mergeCell ref="B9:C9"/>
    <mergeCell ref="H6:H7"/>
    <mergeCell ref="I6:I7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85:C85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</mergeCells>
  <pageMargins left="0.511811024" right="0.511811024" top="0.78740157499999996" bottom="0.78740157499999996" header="0.31496062000000002" footer="0.3149606200000000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L85"/>
  <sheetViews>
    <sheetView workbookViewId="0">
      <selection sqref="A1:XFD1048576"/>
    </sheetView>
  </sheetViews>
  <sheetFormatPr defaultRowHeight="15"/>
  <cols>
    <col min="4" max="5" width="12.7109375" customWidth="1"/>
    <col min="6" max="6" width="10.7109375" customWidth="1"/>
    <col min="7" max="9" width="12.7109375" customWidth="1"/>
    <col min="10" max="10" width="11.7109375" customWidth="1"/>
    <col min="11" max="11" width="10.7109375" customWidth="1"/>
    <col min="12" max="12" width="13.7109375" customWidth="1"/>
  </cols>
  <sheetData>
    <row r="1" spans="1:12">
      <c r="A1" s="382" t="s">
        <v>522</v>
      </c>
    </row>
    <row r="2" spans="1:12">
      <c r="A2" s="382" t="s">
        <v>966</v>
      </c>
    </row>
    <row r="4" spans="1:12">
      <c r="A4" s="382" t="s">
        <v>523</v>
      </c>
      <c r="C4" s="473" t="s">
        <v>524</v>
      </c>
    </row>
    <row r="6" spans="1:12">
      <c r="D6" s="725" t="s">
        <v>525</v>
      </c>
      <c r="E6" s="725" t="s">
        <v>526</v>
      </c>
      <c r="F6" s="725" t="s">
        <v>527</v>
      </c>
      <c r="G6" s="725" t="s">
        <v>528</v>
      </c>
      <c r="H6" s="725" t="s">
        <v>702</v>
      </c>
      <c r="I6" s="725" t="s">
        <v>703</v>
      </c>
      <c r="J6" s="725" t="s">
        <v>704</v>
      </c>
      <c r="K6" s="725" t="s">
        <v>532</v>
      </c>
      <c r="L6" s="725" t="s">
        <v>533</v>
      </c>
    </row>
    <row r="7" spans="1:12">
      <c r="A7" s="383" t="s">
        <v>534</v>
      </c>
      <c r="D7" s="726"/>
      <c r="E7" s="726"/>
      <c r="F7" s="726"/>
      <c r="G7" s="726"/>
      <c r="H7" s="726"/>
      <c r="I7" s="726"/>
      <c r="J7" s="726"/>
      <c r="K7" s="726"/>
      <c r="L7" s="726"/>
    </row>
    <row r="8" spans="1:12">
      <c r="A8" s="384">
        <v>1</v>
      </c>
      <c r="B8" s="723" t="s">
        <v>535</v>
      </c>
      <c r="C8" s="723"/>
      <c r="D8" s="384" t="s">
        <v>536</v>
      </c>
      <c r="E8" s="384" t="s">
        <v>967</v>
      </c>
      <c r="F8" s="384" t="s">
        <v>968</v>
      </c>
      <c r="G8" s="384" t="s">
        <v>969</v>
      </c>
      <c r="H8" s="384" t="s">
        <v>1239</v>
      </c>
      <c r="I8" s="384" t="s">
        <v>1240</v>
      </c>
      <c r="J8" s="384" t="s">
        <v>1241</v>
      </c>
      <c r="K8" s="384" t="s">
        <v>968</v>
      </c>
      <c r="L8" s="384" t="s">
        <v>1242</v>
      </c>
    </row>
    <row r="9" spans="1:12">
      <c r="A9" s="384">
        <v>20</v>
      </c>
      <c r="B9" s="723" t="s">
        <v>537</v>
      </c>
      <c r="C9" s="723"/>
      <c r="D9" s="384" t="s">
        <v>538</v>
      </c>
      <c r="E9" s="384" t="s">
        <v>973</v>
      </c>
      <c r="F9" s="384" t="s">
        <v>539</v>
      </c>
      <c r="G9" s="384" t="s">
        <v>974</v>
      </c>
      <c r="H9" s="384" t="s">
        <v>1243</v>
      </c>
      <c r="I9" s="384" t="s">
        <v>1244</v>
      </c>
      <c r="J9" s="384" t="s">
        <v>1245</v>
      </c>
      <c r="K9" s="384" t="s">
        <v>539</v>
      </c>
      <c r="L9" s="384" t="s">
        <v>1246</v>
      </c>
    </row>
    <row r="10" spans="1:12">
      <c r="A10" s="384">
        <v>31</v>
      </c>
      <c r="B10" s="723" t="s">
        <v>540</v>
      </c>
      <c r="C10" s="723"/>
      <c r="D10" s="384" t="s">
        <v>541</v>
      </c>
      <c r="E10" s="384" t="s">
        <v>978</v>
      </c>
      <c r="F10" s="384" t="s">
        <v>539</v>
      </c>
      <c r="G10" s="384" t="s">
        <v>979</v>
      </c>
      <c r="H10" s="384" t="s">
        <v>1247</v>
      </c>
      <c r="I10" s="384" t="s">
        <v>705</v>
      </c>
      <c r="J10" s="384" t="s">
        <v>1248</v>
      </c>
      <c r="K10" s="384" t="s">
        <v>539</v>
      </c>
      <c r="L10" s="384" t="s">
        <v>1249</v>
      </c>
    </row>
    <row r="11" spans="1:12">
      <c r="A11" s="384">
        <v>40</v>
      </c>
      <c r="B11" s="723" t="s">
        <v>542</v>
      </c>
      <c r="C11" s="723"/>
      <c r="D11" s="384" t="s">
        <v>543</v>
      </c>
      <c r="E11" s="384" t="s">
        <v>983</v>
      </c>
      <c r="F11" s="384" t="s">
        <v>539</v>
      </c>
      <c r="G11" s="384" t="s">
        <v>984</v>
      </c>
      <c r="H11" s="384" t="s">
        <v>1250</v>
      </c>
      <c r="I11" s="384" t="s">
        <v>1251</v>
      </c>
      <c r="J11" s="384" t="s">
        <v>1252</v>
      </c>
      <c r="K11" s="384" t="s">
        <v>539</v>
      </c>
      <c r="L11" s="384" t="s">
        <v>1253</v>
      </c>
    </row>
    <row r="12" spans="1:12">
      <c r="A12" s="384">
        <v>50</v>
      </c>
      <c r="B12" s="723" t="s">
        <v>544</v>
      </c>
      <c r="C12" s="723"/>
      <c r="D12" s="384" t="s">
        <v>545</v>
      </c>
      <c r="E12" s="384" t="s">
        <v>988</v>
      </c>
      <c r="F12" s="384" t="s">
        <v>539</v>
      </c>
      <c r="G12" s="384" t="s">
        <v>989</v>
      </c>
      <c r="H12" s="384" t="s">
        <v>1254</v>
      </c>
      <c r="I12" s="384" t="s">
        <v>706</v>
      </c>
      <c r="J12" s="384" t="s">
        <v>1255</v>
      </c>
      <c r="K12" s="384" t="s">
        <v>539</v>
      </c>
      <c r="L12" s="384" t="s">
        <v>1256</v>
      </c>
    </row>
    <row r="13" spans="1:12">
      <c r="A13" s="384">
        <v>900</v>
      </c>
      <c r="B13" s="723" t="s">
        <v>546</v>
      </c>
      <c r="C13" s="723"/>
      <c r="D13" s="384" t="s">
        <v>547</v>
      </c>
      <c r="E13" s="384" t="s">
        <v>539</v>
      </c>
      <c r="F13" s="384" t="s">
        <v>539</v>
      </c>
      <c r="G13" s="384" t="s">
        <v>547</v>
      </c>
      <c r="H13" s="384" t="s">
        <v>539</v>
      </c>
      <c r="I13" s="384" t="s">
        <v>539</v>
      </c>
      <c r="J13" s="384" t="s">
        <v>539</v>
      </c>
      <c r="K13" s="384" t="s">
        <v>539</v>
      </c>
      <c r="L13" s="384" t="s">
        <v>547</v>
      </c>
    </row>
    <row r="14" spans="1:12">
      <c r="A14" s="384">
        <v>1022</v>
      </c>
      <c r="B14" s="723" t="s">
        <v>548</v>
      </c>
      <c r="C14" s="723"/>
      <c r="D14" s="384" t="s">
        <v>549</v>
      </c>
      <c r="E14" s="384" t="s">
        <v>993</v>
      </c>
      <c r="F14" s="384" t="s">
        <v>539</v>
      </c>
      <c r="G14" s="384" t="s">
        <v>994</v>
      </c>
      <c r="H14" s="384" t="s">
        <v>1191</v>
      </c>
      <c r="I14" s="384" t="s">
        <v>539</v>
      </c>
      <c r="J14" s="384" t="s">
        <v>1191</v>
      </c>
      <c r="K14" s="384" t="s">
        <v>539</v>
      </c>
      <c r="L14" s="384" t="s">
        <v>1192</v>
      </c>
    </row>
    <row r="15" spans="1:12">
      <c r="A15" s="384">
        <v>1023</v>
      </c>
      <c r="B15" s="723" t="s">
        <v>550</v>
      </c>
      <c r="C15" s="723"/>
      <c r="D15" s="384" t="s">
        <v>551</v>
      </c>
      <c r="E15" s="384" t="s">
        <v>996</v>
      </c>
      <c r="F15" s="384" t="s">
        <v>539</v>
      </c>
      <c r="G15" s="384" t="s">
        <v>997</v>
      </c>
      <c r="H15" s="384" t="s">
        <v>1257</v>
      </c>
      <c r="I15" s="384" t="s">
        <v>707</v>
      </c>
      <c r="J15" s="384" t="s">
        <v>1258</v>
      </c>
      <c r="K15" s="384" t="s">
        <v>539</v>
      </c>
      <c r="L15" s="384" t="s">
        <v>1259</v>
      </c>
    </row>
    <row r="16" spans="1:12">
      <c r="A16" s="384">
        <v>1024</v>
      </c>
      <c r="B16" s="723" t="s">
        <v>553</v>
      </c>
      <c r="C16" s="723"/>
      <c r="D16" s="384" t="s">
        <v>554</v>
      </c>
      <c r="E16" s="384" t="s">
        <v>1001</v>
      </c>
      <c r="F16" s="384" t="s">
        <v>539</v>
      </c>
      <c r="G16" s="384" t="s">
        <v>1002</v>
      </c>
      <c r="H16" s="384" t="s">
        <v>1260</v>
      </c>
      <c r="I16" s="384" t="s">
        <v>539</v>
      </c>
      <c r="J16" s="384" t="s">
        <v>1260</v>
      </c>
      <c r="K16" s="384" t="s">
        <v>539</v>
      </c>
      <c r="L16" s="384" t="s">
        <v>1261</v>
      </c>
    </row>
    <row r="17" spans="1:12">
      <c r="A17" s="384">
        <v>1025</v>
      </c>
      <c r="B17" s="723" t="s">
        <v>555</v>
      </c>
      <c r="C17" s="723"/>
      <c r="D17" s="384" t="s">
        <v>556</v>
      </c>
      <c r="E17" s="384" t="s">
        <v>1005</v>
      </c>
      <c r="F17" s="384" t="s">
        <v>539</v>
      </c>
      <c r="G17" s="384" t="s">
        <v>1006</v>
      </c>
      <c r="H17" s="384" t="s">
        <v>539</v>
      </c>
      <c r="I17" s="384" t="s">
        <v>539</v>
      </c>
      <c r="J17" s="384" t="s">
        <v>539</v>
      </c>
      <c r="K17" s="384" t="s">
        <v>539</v>
      </c>
      <c r="L17" s="384" t="s">
        <v>1006</v>
      </c>
    </row>
    <row r="18" spans="1:12">
      <c r="A18" s="384">
        <v>1026</v>
      </c>
      <c r="B18" s="723" t="s">
        <v>557</v>
      </c>
      <c r="C18" s="723"/>
      <c r="D18" s="384" t="s">
        <v>558</v>
      </c>
      <c r="E18" s="384" t="s">
        <v>1007</v>
      </c>
      <c r="F18" s="384" t="s">
        <v>539</v>
      </c>
      <c r="G18" s="384" t="s">
        <v>1008</v>
      </c>
      <c r="H18" s="384" t="s">
        <v>1262</v>
      </c>
      <c r="I18" s="384" t="s">
        <v>539</v>
      </c>
      <c r="J18" s="384" t="s">
        <v>1262</v>
      </c>
      <c r="K18" s="384" t="s">
        <v>539</v>
      </c>
      <c r="L18" s="384" t="s">
        <v>1263</v>
      </c>
    </row>
    <row r="19" spans="1:12">
      <c r="A19" s="384">
        <v>1031</v>
      </c>
      <c r="B19" s="723" t="s">
        <v>559</v>
      </c>
      <c r="C19" s="723"/>
      <c r="D19" s="384" t="s">
        <v>560</v>
      </c>
      <c r="E19" s="384" t="s">
        <v>1012</v>
      </c>
      <c r="F19" s="384" t="s">
        <v>539</v>
      </c>
      <c r="G19" s="384" t="s">
        <v>1013</v>
      </c>
      <c r="H19" s="384" t="s">
        <v>539</v>
      </c>
      <c r="I19" s="384" t="s">
        <v>539</v>
      </c>
      <c r="J19" s="384" t="s">
        <v>539</v>
      </c>
      <c r="K19" s="384" t="s">
        <v>539</v>
      </c>
      <c r="L19" s="384" t="s">
        <v>1013</v>
      </c>
    </row>
    <row r="20" spans="1:12">
      <c r="A20" s="384">
        <v>1101</v>
      </c>
      <c r="B20" s="723" t="s">
        <v>561</v>
      </c>
      <c r="C20" s="723"/>
      <c r="D20" s="384" t="s">
        <v>562</v>
      </c>
      <c r="E20" s="384" t="s">
        <v>1014</v>
      </c>
      <c r="F20" s="384" t="s">
        <v>539</v>
      </c>
      <c r="G20" s="384" t="s">
        <v>1015</v>
      </c>
      <c r="H20" s="384" t="s">
        <v>539</v>
      </c>
      <c r="I20" s="384" t="s">
        <v>539</v>
      </c>
      <c r="J20" s="384" t="s">
        <v>539</v>
      </c>
      <c r="K20" s="384" t="s">
        <v>539</v>
      </c>
      <c r="L20" s="384" t="s">
        <v>1015</v>
      </c>
    </row>
    <row r="21" spans="1:12">
      <c r="A21" s="384">
        <v>1103</v>
      </c>
      <c r="B21" s="723" t="s">
        <v>563</v>
      </c>
      <c r="C21" s="723"/>
      <c r="D21" s="384" t="s">
        <v>564</v>
      </c>
      <c r="E21" s="384" t="s">
        <v>1016</v>
      </c>
      <c r="F21" s="384" t="s">
        <v>539</v>
      </c>
      <c r="G21" s="384" t="s">
        <v>1017</v>
      </c>
      <c r="H21" s="384" t="s">
        <v>1264</v>
      </c>
      <c r="I21" s="384" t="s">
        <v>708</v>
      </c>
      <c r="J21" s="384" t="s">
        <v>1265</v>
      </c>
      <c r="K21" s="384" t="s">
        <v>539</v>
      </c>
      <c r="L21" s="384" t="s">
        <v>1266</v>
      </c>
    </row>
    <row r="22" spans="1:12">
      <c r="A22" s="384">
        <v>1104</v>
      </c>
      <c r="B22" s="723" t="s">
        <v>565</v>
      </c>
      <c r="C22" s="723"/>
      <c r="D22" s="384" t="s">
        <v>566</v>
      </c>
      <c r="E22" s="384" t="s">
        <v>859</v>
      </c>
      <c r="F22" s="384" t="s">
        <v>539</v>
      </c>
      <c r="G22" s="384" t="s">
        <v>860</v>
      </c>
      <c r="H22" s="384" t="s">
        <v>860</v>
      </c>
      <c r="I22" s="384" t="s">
        <v>539</v>
      </c>
      <c r="J22" s="384" t="s">
        <v>860</v>
      </c>
      <c r="K22" s="384" t="s">
        <v>539</v>
      </c>
      <c r="L22" s="384" t="s">
        <v>539</v>
      </c>
    </row>
    <row r="23" spans="1:12">
      <c r="A23" s="384">
        <v>1121</v>
      </c>
      <c r="B23" s="723" t="s">
        <v>567</v>
      </c>
      <c r="C23" s="723"/>
      <c r="D23" s="384" t="s">
        <v>568</v>
      </c>
      <c r="E23" s="384" t="s">
        <v>1021</v>
      </c>
      <c r="F23" s="384" t="s">
        <v>539</v>
      </c>
      <c r="G23" s="384" t="s">
        <v>1022</v>
      </c>
      <c r="H23" s="384" t="s">
        <v>1267</v>
      </c>
      <c r="I23" s="384" t="s">
        <v>709</v>
      </c>
      <c r="J23" s="384" t="s">
        <v>1268</v>
      </c>
      <c r="K23" s="384" t="s">
        <v>539</v>
      </c>
      <c r="L23" s="384" t="s">
        <v>1269</v>
      </c>
    </row>
    <row r="24" spans="1:12">
      <c r="A24" s="384">
        <v>1122</v>
      </c>
      <c r="B24" s="723" t="s">
        <v>569</v>
      </c>
      <c r="C24" s="723"/>
      <c r="D24" s="384" t="s">
        <v>570</v>
      </c>
      <c r="E24" s="384" t="s">
        <v>1026</v>
      </c>
      <c r="F24" s="384" t="s">
        <v>539</v>
      </c>
      <c r="G24" s="384" t="s">
        <v>1027</v>
      </c>
      <c r="H24" s="384" t="s">
        <v>539</v>
      </c>
      <c r="I24" s="384" t="s">
        <v>539</v>
      </c>
      <c r="J24" s="384" t="s">
        <v>539</v>
      </c>
      <c r="K24" s="384" t="s">
        <v>539</v>
      </c>
      <c r="L24" s="384" t="s">
        <v>1027</v>
      </c>
    </row>
    <row r="25" spans="1:12">
      <c r="A25" s="384">
        <v>1123</v>
      </c>
      <c r="B25" s="723" t="s">
        <v>571</v>
      </c>
      <c r="C25" s="723"/>
      <c r="D25" s="384" t="s">
        <v>572</v>
      </c>
      <c r="E25" s="384" t="s">
        <v>789</v>
      </c>
      <c r="F25" s="384" t="s">
        <v>539</v>
      </c>
      <c r="G25" s="384" t="s">
        <v>790</v>
      </c>
      <c r="H25" s="384" t="s">
        <v>790</v>
      </c>
      <c r="I25" s="384" t="s">
        <v>539</v>
      </c>
      <c r="J25" s="384" t="s">
        <v>790</v>
      </c>
      <c r="K25" s="384" t="s">
        <v>539</v>
      </c>
      <c r="L25" s="384" t="s">
        <v>539</v>
      </c>
    </row>
    <row r="26" spans="1:12">
      <c r="A26" s="384">
        <v>1124</v>
      </c>
      <c r="B26" s="723" t="s">
        <v>573</v>
      </c>
      <c r="C26" s="723"/>
      <c r="D26" s="384" t="s">
        <v>574</v>
      </c>
      <c r="E26" s="384" t="s">
        <v>1029</v>
      </c>
      <c r="F26" s="384" t="s">
        <v>539</v>
      </c>
      <c r="G26" s="384" t="s">
        <v>1030</v>
      </c>
      <c r="H26" s="384" t="s">
        <v>872</v>
      </c>
      <c r="I26" s="384" t="s">
        <v>710</v>
      </c>
      <c r="J26" s="384" t="s">
        <v>1270</v>
      </c>
      <c r="K26" s="384" t="s">
        <v>539</v>
      </c>
      <c r="L26" s="384" t="s">
        <v>1271</v>
      </c>
    </row>
    <row r="27" spans="1:12">
      <c r="A27" s="384">
        <v>1180</v>
      </c>
      <c r="B27" s="723" t="s">
        <v>575</v>
      </c>
      <c r="C27" s="723"/>
      <c r="D27" s="384" t="s">
        <v>576</v>
      </c>
      <c r="E27" s="384" t="s">
        <v>539</v>
      </c>
      <c r="F27" s="384" t="s">
        <v>539</v>
      </c>
      <c r="G27" s="384" t="s">
        <v>576</v>
      </c>
      <c r="H27" s="384" t="s">
        <v>539</v>
      </c>
      <c r="I27" s="384" t="s">
        <v>539</v>
      </c>
      <c r="J27" s="384" t="s">
        <v>539</v>
      </c>
      <c r="K27" s="384" t="s">
        <v>539</v>
      </c>
      <c r="L27" s="384" t="s">
        <v>576</v>
      </c>
    </row>
    <row r="28" spans="1:12">
      <c r="A28" s="384">
        <v>1181</v>
      </c>
      <c r="B28" s="723" t="s">
        <v>577</v>
      </c>
      <c r="C28" s="723"/>
      <c r="D28" s="384" t="s">
        <v>578</v>
      </c>
      <c r="E28" s="384" t="s">
        <v>1034</v>
      </c>
      <c r="F28" s="384" t="s">
        <v>539</v>
      </c>
      <c r="G28" s="384" t="s">
        <v>1035</v>
      </c>
      <c r="H28" s="384" t="s">
        <v>539</v>
      </c>
      <c r="I28" s="384" t="s">
        <v>539</v>
      </c>
      <c r="J28" s="384" t="s">
        <v>539</v>
      </c>
      <c r="K28" s="384" t="s">
        <v>539</v>
      </c>
      <c r="L28" s="384" t="s">
        <v>1035</v>
      </c>
    </row>
    <row r="29" spans="1:12">
      <c r="A29" s="384">
        <v>1182</v>
      </c>
      <c r="B29" s="723" t="s">
        <v>579</v>
      </c>
      <c r="C29" s="723"/>
      <c r="D29" s="384" t="s">
        <v>580</v>
      </c>
      <c r="E29" s="384" t="s">
        <v>1036</v>
      </c>
      <c r="F29" s="384" t="s">
        <v>539</v>
      </c>
      <c r="G29" s="384" t="s">
        <v>1037</v>
      </c>
      <c r="H29" s="384" t="s">
        <v>581</v>
      </c>
      <c r="I29" s="384" t="s">
        <v>711</v>
      </c>
      <c r="J29" s="384" t="s">
        <v>843</v>
      </c>
      <c r="K29" s="384" t="s">
        <v>539</v>
      </c>
      <c r="L29" s="384" t="s">
        <v>1272</v>
      </c>
    </row>
    <row r="30" spans="1:12">
      <c r="A30" s="384">
        <v>1184</v>
      </c>
      <c r="B30" s="723" t="s">
        <v>584</v>
      </c>
      <c r="C30" s="723"/>
      <c r="D30" s="384" t="s">
        <v>585</v>
      </c>
      <c r="E30" s="384" t="s">
        <v>1039</v>
      </c>
      <c r="F30" s="384" t="s">
        <v>539</v>
      </c>
      <c r="G30" s="384" t="s">
        <v>1040</v>
      </c>
      <c r="H30" s="384" t="s">
        <v>1273</v>
      </c>
      <c r="I30" s="384" t="s">
        <v>844</v>
      </c>
      <c r="J30" s="384" t="s">
        <v>1274</v>
      </c>
      <c r="K30" s="384" t="s">
        <v>539</v>
      </c>
      <c r="L30" s="384" t="s">
        <v>1275</v>
      </c>
    </row>
    <row r="31" spans="1:12">
      <c r="A31" s="384">
        <v>1186</v>
      </c>
      <c r="B31" s="723" t="s">
        <v>587</v>
      </c>
      <c r="C31" s="723"/>
      <c r="D31" s="384" t="s">
        <v>588</v>
      </c>
      <c r="E31" s="384" t="s">
        <v>1044</v>
      </c>
      <c r="F31" s="384" t="s">
        <v>539</v>
      </c>
      <c r="G31" s="384" t="s">
        <v>1045</v>
      </c>
      <c r="H31" s="384" t="s">
        <v>539</v>
      </c>
      <c r="I31" s="384" t="s">
        <v>539</v>
      </c>
      <c r="J31" s="384" t="s">
        <v>539</v>
      </c>
      <c r="K31" s="384" t="s">
        <v>539</v>
      </c>
      <c r="L31" s="384" t="s">
        <v>1045</v>
      </c>
    </row>
    <row r="32" spans="1:12">
      <c r="A32" s="384">
        <v>1187</v>
      </c>
      <c r="B32" s="723" t="s">
        <v>589</v>
      </c>
      <c r="C32" s="723"/>
      <c r="D32" s="384" t="s">
        <v>590</v>
      </c>
      <c r="E32" s="384" t="s">
        <v>861</v>
      </c>
      <c r="F32" s="384" t="s">
        <v>539</v>
      </c>
      <c r="G32" s="384" t="s">
        <v>862</v>
      </c>
      <c r="H32" s="384" t="s">
        <v>539</v>
      </c>
      <c r="I32" s="384" t="s">
        <v>539</v>
      </c>
      <c r="J32" s="384" t="s">
        <v>539</v>
      </c>
      <c r="K32" s="384" t="s">
        <v>539</v>
      </c>
      <c r="L32" s="384" t="s">
        <v>862</v>
      </c>
    </row>
    <row r="33" spans="1:12">
      <c r="A33" s="384">
        <v>1188</v>
      </c>
      <c r="B33" s="723" t="s">
        <v>591</v>
      </c>
      <c r="C33" s="723"/>
      <c r="D33" s="384" t="s">
        <v>592</v>
      </c>
      <c r="E33" s="384" t="s">
        <v>1046</v>
      </c>
      <c r="F33" s="384" t="s">
        <v>539</v>
      </c>
      <c r="G33" s="384" t="s">
        <v>1047</v>
      </c>
      <c r="H33" s="384" t="s">
        <v>1276</v>
      </c>
      <c r="I33" s="384" t="s">
        <v>712</v>
      </c>
      <c r="J33" s="384" t="s">
        <v>1277</v>
      </c>
      <c r="K33" s="384" t="s">
        <v>539</v>
      </c>
      <c r="L33" s="384" t="s">
        <v>1278</v>
      </c>
    </row>
    <row r="34" spans="1:12">
      <c r="A34" s="384">
        <v>1190</v>
      </c>
      <c r="B34" s="723" t="s">
        <v>593</v>
      </c>
      <c r="C34" s="723"/>
      <c r="D34" s="384" t="s">
        <v>594</v>
      </c>
      <c r="E34" s="384" t="s">
        <v>1049</v>
      </c>
      <c r="F34" s="384" t="s">
        <v>539</v>
      </c>
      <c r="G34" s="384" t="s">
        <v>1050</v>
      </c>
      <c r="H34" s="384" t="s">
        <v>595</v>
      </c>
      <c r="I34" s="384" t="s">
        <v>698</v>
      </c>
      <c r="J34" s="384" t="s">
        <v>713</v>
      </c>
      <c r="K34" s="384" t="s">
        <v>539</v>
      </c>
      <c r="L34" s="384" t="s">
        <v>1279</v>
      </c>
    </row>
    <row r="35" spans="1:12">
      <c r="A35" s="384">
        <v>1500</v>
      </c>
      <c r="B35" s="723" t="s">
        <v>154</v>
      </c>
      <c r="C35" s="723"/>
      <c r="D35" s="384" t="s">
        <v>596</v>
      </c>
      <c r="E35" s="384" t="s">
        <v>1054</v>
      </c>
      <c r="F35" s="384" t="s">
        <v>539</v>
      </c>
      <c r="G35" s="384" t="s">
        <v>1055</v>
      </c>
      <c r="H35" s="384" t="s">
        <v>1280</v>
      </c>
      <c r="I35" s="384" t="s">
        <v>699</v>
      </c>
      <c r="J35" s="384" t="s">
        <v>1281</v>
      </c>
      <c r="K35" s="384" t="s">
        <v>539</v>
      </c>
      <c r="L35" s="384" t="s">
        <v>1282</v>
      </c>
    </row>
    <row r="36" spans="1:12">
      <c r="A36" s="384">
        <v>3812</v>
      </c>
      <c r="B36" s="723" t="s">
        <v>597</v>
      </c>
      <c r="C36" s="723"/>
      <c r="D36" s="384" t="s">
        <v>598</v>
      </c>
      <c r="E36" s="384" t="s">
        <v>1059</v>
      </c>
      <c r="F36" s="384" t="s">
        <v>539</v>
      </c>
      <c r="G36" s="384" t="s">
        <v>1060</v>
      </c>
      <c r="H36" s="384" t="s">
        <v>539</v>
      </c>
      <c r="I36" s="384" t="s">
        <v>539</v>
      </c>
      <c r="J36" s="384" t="s">
        <v>539</v>
      </c>
      <c r="K36" s="384" t="s">
        <v>539</v>
      </c>
      <c r="L36" s="384" t="s">
        <v>1060</v>
      </c>
    </row>
    <row r="37" spans="1:12">
      <c r="A37" s="384">
        <v>3813</v>
      </c>
      <c r="B37" s="723" t="s">
        <v>599</v>
      </c>
      <c r="C37" s="723"/>
      <c r="D37" s="384" t="s">
        <v>600</v>
      </c>
      <c r="E37" s="384" t="s">
        <v>1062</v>
      </c>
      <c r="F37" s="384" t="s">
        <v>539</v>
      </c>
      <c r="G37" s="384" t="s">
        <v>1063</v>
      </c>
      <c r="H37" s="384" t="s">
        <v>539</v>
      </c>
      <c r="I37" s="384" t="s">
        <v>539</v>
      </c>
      <c r="J37" s="384" t="s">
        <v>539</v>
      </c>
      <c r="K37" s="384" t="s">
        <v>539</v>
      </c>
      <c r="L37" s="384" t="s">
        <v>1063</v>
      </c>
    </row>
    <row r="38" spans="1:12">
      <c r="A38" s="384">
        <v>3818</v>
      </c>
      <c r="B38" s="723" t="s">
        <v>601</v>
      </c>
      <c r="C38" s="723"/>
      <c r="D38" s="384" t="s">
        <v>602</v>
      </c>
      <c r="E38" s="384" t="s">
        <v>800</v>
      </c>
      <c r="F38" s="384" t="s">
        <v>539</v>
      </c>
      <c r="G38" s="384" t="s">
        <v>801</v>
      </c>
      <c r="H38" s="384" t="s">
        <v>801</v>
      </c>
      <c r="I38" s="384" t="s">
        <v>539</v>
      </c>
      <c r="J38" s="384" t="s">
        <v>801</v>
      </c>
      <c r="K38" s="384" t="s">
        <v>539</v>
      </c>
      <c r="L38" s="384" t="s">
        <v>539</v>
      </c>
    </row>
    <row r="39" spans="1:12">
      <c r="A39" s="384">
        <v>3819</v>
      </c>
      <c r="B39" s="723" t="s">
        <v>603</v>
      </c>
      <c r="C39" s="723"/>
      <c r="D39" s="384" t="s">
        <v>604</v>
      </c>
      <c r="E39" s="384" t="s">
        <v>1064</v>
      </c>
      <c r="F39" s="384" t="s">
        <v>539</v>
      </c>
      <c r="G39" s="384" t="s">
        <v>1065</v>
      </c>
      <c r="H39" s="384" t="s">
        <v>539</v>
      </c>
      <c r="I39" s="384" t="s">
        <v>539</v>
      </c>
      <c r="J39" s="384" t="s">
        <v>539</v>
      </c>
      <c r="K39" s="384" t="s">
        <v>539</v>
      </c>
      <c r="L39" s="384" t="s">
        <v>1065</v>
      </c>
    </row>
    <row r="40" spans="1:12">
      <c r="A40" s="384">
        <v>3821</v>
      </c>
      <c r="B40" s="723" t="s">
        <v>605</v>
      </c>
      <c r="C40" s="723"/>
      <c r="D40" s="384" t="s">
        <v>606</v>
      </c>
      <c r="E40" s="384" t="s">
        <v>1067</v>
      </c>
      <c r="F40" s="384" t="s">
        <v>539</v>
      </c>
      <c r="G40" s="384" t="s">
        <v>1068</v>
      </c>
      <c r="H40" s="384" t="s">
        <v>539</v>
      </c>
      <c r="I40" s="384" t="s">
        <v>539</v>
      </c>
      <c r="J40" s="384" t="s">
        <v>539</v>
      </c>
      <c r="K40" s="384" t="s">
        <v>539</v>
      </c>
      <c r="L40" s="384" t="s">
        <v>1068</v>
      </c>
    </row>
    <row r="41" spans="1:12">
      <c r="A41" s="384">
        <v>3822</v>
      </c>
      <c r="B41" s="723" t="s">
        <v>607</v>
      </c>
      <c r="C41" s="723"/>
      <c r="D41" s="384" t="s">
        <v>608</v>
      </c>
      <c r="E41" s="384" t="s">
        <v>1069</v>
      </c>
      <c r="F41" s="384" t="s">
        <v>539</v>
      </c>
      <c r="G41" s="384" t="s">
        <v>1070</v>
      </c>
      <c r="H41" s="384" t="s">
        <v>803</v>
      </c>
      <c r="I41" s="384" t="s">
        <v>804</v>
      </c>
      <c r="J41" s="384" t="s">
        <v>805</v>
      </c>
      <c r="K41" s="384" t="s">
        <v>539</v>
      </c>
      <c r="L41" s="384" t="s">
        <v>1071</v>
      </c>
    </row>
    <row r="42" spans="1:12">
      <c r="A42" s="384">
        <v>3826</v>
      </c>
      <c r="B42" s="723" t="s">
        <v>609</v>
      </c>
      <c r="C42" s="723"/>
      <c r="D42" s="384" t="s">
        <v>610</v>
      </c>
      <c r="E42" s="384" t="s">
        <v>611</v>
      </c>
      <c r="F42" s="384" t="s">
        <v>539</v>
      </c>
      <c r="G42" s="384" t="s">
        <v>612</v>
      </c>
      <c r="H42" s="384" t="s">
        <v>539</v>
      </c>
      <c r="I42" s="384" t="s">
        <v>539</v>
      </c>
      <c r="J42" s="384" t="s">
        <v>539</v>
      </c>
      <c r="K42" s="384" t="s">
        <v>539</v>
      </c>
      <c r="L42" s="384" t="s">
        <v>612</v>
      </c>
    </row>
    <row r="43" spans="1:12">
      <c r="A43" s="384">
        <v>3827</v>
      </c>
      <c r="B43" s="723" t="s">
        <v>613</v>
      </c>
      <c r="C43" s="723"/>
      <c r="D43" s="384" t="s">
        <v>614</v>
      </c>
      <c r="E43" s="384" t="s">
        <v>615</v>
      </c>
      <c r="F43" s="384" t="s">
        <v>539</v>
      </c>
      <c r="G43" s="384" t="s">
        <v>616</v>
      </c>
      <c r="H43" s="384" t="s">
        <v>617</v>
      </c>
      <c r="I43" s="384" t="s">
        <v>539</v>
      </c>
      <c r="J43" s="384" t="s">
        <v>617</v>
      </c>
      <c r="K43" s="384" t="s">
        <v>539</v>
      </c>
      <c r="L43" s="384" t="s">
        <v>618</v>
      </c>
    </row>
    <row r="44" spans="1:12">
      <c r="A44" s="384">
        <v>3831</v>
      </c>
      <c r="B44" s="723" t="s">
        <v>619</v>
      </c>
      <c r="C44" s="723"/>
      <c r="D44" s="384" t="s">
        <v>620</v>
      </c>
      <c r="E44" s="384" t="s">
        <v>1072</v>
      </c>
      <c r="F44" s="384" t="s">
        <v>539</v>
      </c>
      <c r="G44" s="384" t="s">
        <v>1073</v>
      </c>
      <c r="H44" s="384" t="s">
        <v>539</v>
      </c>
      <c r="I44" s="384" t="s">
        <v>621</v>
      </c>
      <c r="J44" s="384" t="s">
        <v>621</v>
      </c>
      <c r="K44" s="384" t="s">
        <v>539</v>
      </c>
      <c r="L44" s="384" t="s">
        <v>1212</v>
      </c>
    </row>
    <row r="45" spans="1:12">
      <c r="A45" s="384">
        <v>3832</v>
      </c>
      <c r="B45" s="723" t="s">
        <v>622</v>
      </c>
      <c r="C45" s="723"/>
      <c r="D45" s="384" t="s">
        <v>623</v>
      </c>
      <c r="E45" s="384" t="s">
        <v>1075</v>
      </c>
      <c r="F45" s="384" t="s">
        <v>539</v>
      </c>
      <c r="G45" s="384" t="s">
        <v>1076</v>
      </c>
      <c r="H45" s="384" t="s">
        <v>845</v>
      </c>
      <c r="I45" s="384" t="s">
        <v>624</v>
      </c>
      <c r="J45" s="384" t="s">
        <v>846</v>
      </c>
      <c r="K45" s="384" t="s">
        <v>539</v>
      </c>
      <c r="L45" s="384" t="s">
        <v>1283</v>
      </c>
    </row>
    <row r="46" spans="1:12">
      <c r="A46" s="384">
        <v>3833</v>
      </c>
      <c r="B46" s="723" t="s">
        <v>625</v>
      </c>
      <c r="C46" s="723"/>
      <c r="D46" s="384" t="s">
        <v>626</v>
      </c>
      <c r="E46" s="384" t="s">
        <v>1078</v>
      </c>
      <c r="F46" s="384" t="s">
        <v>539</v>
      </c>
      <c r="G46" s="384" t="s">
        <v>1079</v>
      </c>
      <c r="H46" s="384" t="s">
        <v>539</v>
      </c>
      <c r="I46" s="384" t="s">
        <v>1284</v>
      </c>
      <c r="J46" s="384" t="s">
        <v>1284</v>
      </c>
      <c r="K46" s="384" t="s">
        <v>539</v>
      </c>
      <c r="L46" s="384" t="s">
        <v>1285</v>
      </c>
    </row>
    <row r="47" spans="1:12">
      <c r="A47" s="384">
        <v>3836</v>
      </c>
      <c r="B47" s="723" t="s">
        <v>627</v>
      </c>
      <c r="C47" s="723"/>
      <c r="D47" s="384" t="s">
        <v>539</v>
      </c>
      <c r="E47" s="384" t="s">
        <v>1081</v>
      </c>
      <c r="F47" s="384" t="s">
        <v>539</v>
      </c>
      <c r="G47" s="384" t="s">
        <v>1081</v>
      </c>
      <c r="H47" s="384" t="s">
        <v>865</v>
      </c>
      <c r="I47" s="384" t="s">
        <v>539</v>
      </c>
      <c r="J47" s="384" t="s">
        <v>865</v>
      </c>
      <c r="K47" s="384" t="s">
        <v>539</v>
      </c>
      <c r="L47" s="384" t="s">
        <v>1082</v>
      </c>
    </row>
    <row r="48" spans="1:12">
      <c r="A48" s="384">
        <v>3838</v>
      </c>
      <c r="B48" s="723" t="s">
        <v>817</v>
      </c>
      <c r="C48" s="723"/>
      <c r="D48" s="384" t="s">
        <v>539</v>
      </c>
      <c r="E48" s="384" t="s">
        <v>1083</v>
      </c>
      <c r="F48" s="384" t="s">
        <v>539</v>
      </c>
      <c r="G48" s="384" t="s">
        <v>1083</v>
      </c>
      <c r="H48" s="384" t="s">
        <v>539</v>
      </c>
      <c r="I48" s="384" t="s">
        <v>539</v>
      </c>
      <c r="J48" s="384" t="s">
        <v>539</v>
      </c>
      <c r="K48" s="384" t="s">
        <v>539</v>
      </c>
      <c r="L48" s="384" t="s">
        <v>1083</v>
      </c>
    </row>
    <row r="49" spans="1:12">
      <c r="A49" s="384">
        <v>3839</v>
      </c>
      <c r="B49" s="723" t="s">
        <v>818</v>
      </c>
      <c r="C49" s="723"/>
      <c r="D49" s="384" t="s">
        <v>539</v>
      </c>
      <c r="E49" s="384" t="s">
        <v>1084</v>
      </c>
      <c r="F49" s="384" t="s">
        <v>539</v>
      </c>
      <c r="G49" s="384" t="s">
        <v>1084</v>
      </c>
      <c r="H49" s="384" t="s">
        <v>539</v>
      </c>
      <c r="I49" s="384" t="s">
        <v>539</v>
      </c>
      <c r="J49" s="384" t="s">
        <v>539</v>
      </c>
      <c r="K49" s="384" t="s">
        <v>539</v>
      </c>
      <c r="L49" s="384" t="s">
        <v>1084</v>
      </c>
    </row>
    <row r="50" spans="1:12">
      <c r="A50" s="384">
        <v>4000</v>
      </c>
      <c r="B50" s="723" t="s">
        <v>628</v>
      </c>
      <c r="C50" s="723"/>
      <c r="D50" s="384" t="s">
        <v>629</v>
      </c>
      <c r="E50" s="384" t="s">
        <v>539</v>
      </c>
      <c r="F50" s="384" t="s">
        <v>539</v>
      </c>
      <c r="G50" s="384" t="s">
        <v>629</v>
      </c>
      <c r="H50" s="384" t="s">
        <v>539</v>
      </c>
      <c r="I50" s="384" t="s">
        <v>539</v>
      </c>
      <c r="J50" s="384" t="s">
        <v>539</v>
      </c>
      <c r="K50" s="384" t="s">
        <v>539</v>
      </c>
      <c r="L50" s="384" t="s">
        <v>629</v>
      </c>
    </row>
    <row r="51" spans="1:12">
      <c r="A51" s="384">
        <v>4001</v>
      </c>
      <c r="B51" s="723" t="s">
        <v>630</v>
      </c>
      <c r="C51" s="723"/>
      <c r="D51" s="384" t="s">
        <v>631</v>
      </c>
      <c r="E51" s="384" t="s">
        <v>1085</v>
      </c>
      <c r="F51" s="384" t="s">
        <v>539</v>
      </c>
      <c r="G51" s="384" t="s">
        <v>1086</v>
      </c>
      <c r="H51" s="384" t="s">
        <v>873</v>
      </c>
      <c r="I51" s="384" t="s">
        <v>714</v>
      </c>
      <c r="J51" s="384" t="s">
        <v>878</v>
      </c>
      <c r="K51" s="384" t="s">
        <v>539</v>
      </c>
      <c r="L51" s="384" t="s">
        <v>1286</v>
      </c>
    </row>
    <row r="52" spans="1:12">
      <c r="A52" s="384">
        <v>4011</v>
      </c>
      <c r="B52" s="723" t="s">
        <v>632</v>
      </c>
      <c r="C52" s="723"/>
      <c r="D52" s="384" t="s">
        <v>633</v>
      </c>
      <c r="E52" s="384" t="s">
        <v>1088</v>
      </c>
      <c r="F52" s="384" t="s">
        <v>539</v>
      </c>
      <c r="G52" s="384" t="s">
        <v>1089</v>
      </c>
      <c r="H52" s="384" t="s">
        <v>1090</v>
      </c>
      <c r="I52" s="384" t="s">
        <v>539</v>
      </c>
      <c r="J52" s="384" t="s">
        <v>1090</v>
      </c>
      <c r="K52" s="384" t="s">
        <v>539</v>
      </c>
      <c r="L52" s="384" t="s">
        <v>1215</v>
      </c>
    </row>
    <row r="53" spans="1:12">
      <c r="A53" s="384">
        <v>4030</v>
      </c>
      <c r="B53" s="723" t="s">
        <v>634</v>
      </c>
      <c r="C53" s="723"/>
      <c r="D53" s="384" t="s">
        <v>635</v>
      </c>
      <c r="E53" s="384" t="s">
        <v>539</v>
      </c>
      <c r="F53" s="384" t="s">
        <v>539</v>
      </c>
      <c r="G53" s="384" t="s">
        <v>635</v>
      </c>
      <c r="H53" s="384" t="s">
        <v>539</v>
      </c>
      <c r="I53" s="384" t="s">
        <v>539</v>
      </c>
      <c r="J53" s="384" t="s">
        <v>539</v>
      </c>
      <c r="K53" s="384" t="s">
        <v>539</v>
      </c>
      <c r="L53" s="384" t="s">
        <v>635</v>
      </c>
    </row>
    <row r="54" spans="1:12">
      <c r="A54" s="384">
        <v>4050</v>
      </c>
      <c r="B54" s="723" t="s">
        <v>636</v>
      </c>
      <c r="C54" s="723"/>
      <c r="D54" s="384" t="s">
        <v>637</v>
      </c>
      <c r="E54" s="384" t="s">
        <v>1093</v>
      </c>
      <c r="F54" s="384" t="s">
        <v>539</v>
      </c>
      <c r="G54" s="384" t="s">
        <v>1094</v>
      </c>
      <c r="H54" s="384" t="s">
        <v>874</v>
      </c>
      <c r="I54" s="384" t="s">
        <v>715</v>
      </c>
      <c r="J54" s="384" t="s">
        <v>1287</v>
      </c>
      <c r="K54" s="384" t="s">
        <v>539</v>
      </c>
      <c r="L54" s="384" t="s">
        <v>1288</v>
      </c>
    </row>
    <row r="55" spans="1:12">
      <c r="A55" s="384">
        <v>4051</v>
      </c>
      <c r="B55" s="723" t="s">
        <v>638</v>
      </c>
      <c r="C55" s="723"/>
      <c r="D55" s="384" t="s">
        <v>639</v>
      </c>
      <c r="E55" s="384" t="s">
        <v>1098</v>
      </c>
      <c r="F55" s="384" t="s">
        <v>539</v>
      </c>
      <c r="G55" s="384" t="s">
        <v>1099</v>
      </c>
      <c r="H55" s="384" t="s">
        <v>539</v>
      </c>
      <c r="I55" s="384" t="s">
        <v>539</v>
      </c>
      <c r="J55" s="384" t="s">
        <v>539</v>
      </c>
      <c r="K55" s="384" t="s">
        <v>539</v>
      </c>
      <c r="L55" s="384" t="s">
        <v>1099</v>
      </c>
    </row>
    <row r="56" spans="1:12">
      <c r="A56" s="384">
        <v>4080</v>
      </c>
      <c r="B56" s="723" t="s">
        <v>640</v>
      </c>
      <c r="C56" s="723"/>
      <c r="D56" s="384" t="s">
        <v>641</v>
      </c>
      <c r="E56" s="384" t="s">
        <v>539</v>
      </c>
      <c r="F56" s="384" t="s">
        <v>539</v>
      </c>
      <c r="G56" s="384" t="s">
        <v>641</v>
      </c>
      <c r="H56" s="384" t="s">
        <v>539</v>
      </c>
      <c r="I56" s="384" t="s">
        <v>539</v>
      </c>
      <c r="J56" s="384" t="s">
        <v>539</v>
      </c>
      <c r="K56" s="384" t="s">
        <v>539</v>
      </c>
      <c r="L56" s="384" t="s">
        <v>641</v>
      </c>
    </row>
    <row r="57" spans="1:12">
      <c r="A57" s="384">
        <v>4090</v>
      </c>
      <c r="B57" s="723" t="s">
        <v>642</v>
      </c>
      <c r="C57" s="723"/>
      <c r="D57" s="384" t="s">
        <v>643</v>
      </c>
      <c r="E57" s="384" t="s">
        <v>1100</v>
      </c>
      <c r="F57" s="384" t="s">
        <v>539</v>
      </c>
      <c r="G57" s="384" t="s">
        <v>1101</v>
      </c>
      <c r="H57" s="384" t="s">
        <v>1102</v>
      </c>
      <c r="I57" s="384" t="s">
        <v>539</v>
      </c>
      <c r="J57" s="384" t="s">
        <v>1102</v>
      </c>
      <c r="K57" s="384" t="s">
        <v>539</v>
      </c>
      <c r="L57" s="384" t="s">
        <v>1218</v>
      </c>
    </row>
    <row r="58" spans="1:12">
      <c r="A58" s="384">
        <v>4160</v>
      </c>
      <c r="B58" s="723" t="s">
        <v>644</v>
      </c>
      <c r="C58" s="723"/>
      <c r="D58" s="384" t="s">
        <v>645</v>
      </c>
      <c r="E58" s="384" t="s">
        <v>1105</v>
      </c>
      <c r="F58" s="384" t="s">
        <v>539</v>
      </c>
      <c r="G58" s="384" t="s">
        <v>1106</v>
      </c>
      <c r="H58" s="384" t="s">
        <v>539</v>
      </c>
      <c r="I58" s="384" t="s">
        <v>539</v>
      </c>
      <c r="J58" s="384" t="s">
        <v>539</v>
      </c>
      <c r="K58" s="384" t="s">
        <v>539</v>
      </c>
      <c r="L58" s="384" t="s">
        <v>1106</v>
      </c>
    </row>
    <row r="59" spans="1:12">
      <c r="A59" s="384">
        <v>4170</v>
      </c>
      <c r="B59" s="723" t="s">
        <v>646</v>
      </c>
      <c r="C59" s="723"/>
      <c r="D59" s="384" t="s">
        <v>647</v>
      </c>
      <c r="E59" s="384" t="s">
        <v>1107</v>
      </c>
      <c r="F59" s="384" t="s">
        <v>539</v>
      </c>
      <c r="G59" s="384" t="s">
        <v>1108</v>
      </c>
      <c r="H59" s="384" t="s">
        <v>1219</v>
      </c>
      <c r="I59" s="384" t="s">
        <v>539</v>
      </c>
      <c r="J59" s="384" t="s">
        <v>1219</v>
      </c>
      <c r="K59" s="384" t="s">
        <v>539</v>
      </c>
      <c r="L59" s="384" t="s">
        <v>1220</v>
      </c>
    </row>
    <row r="60" spans="1:12">
      <c r="A60" s="384">
        <v>4190</v>
      </c>
      <c r="B60" s="723" t="s">
        <v>648</v>
      </c>
      <c r="C60" s="723"/>
      <c r="D60" s="384" t="s">
        <v>649</v>
      </c>
      <c r="E60" s="384" t="s">
        <v>1111</v>
      </c>
      <c r="F60" s="384" t="s">
        <v>539</v>
      </c>
      <c r="G60" s="384" t="s">
        <v>1112</v>
      </c>
      <c r="H60" s="384" t="s">
        <v>735</v>
      </c>
      <c r="I60" s="384" t="s">
        <v>539</v>
      </c>
      <c r="J60" s="384" t="s">
        <v>735</v>
      </c>
      <c r="K60" s="384" t="s">
        <v>539</v>
      </c>
      <c r="L60" s="384" t="s">
        <v>1113</v>
      </c>
    </row>
    <row r="61" spans="1:12">
      <c r="A61" s="384">
        <v>4220</v>
      </c>
      <c r="B61" s="723" t="s">
        <v>650</v>
      </c>
      <c r="C61" s="723"/>
      <c r="D61" s="384" t="s">
        <v>651</v>
      </c>
      <c r="E61" s="384" t="s">
        <v>1114</v>
      </c>
      <c r="F61" s="384" t="s">
        <v>539</v>
      </c>
      <c r="G61" s="384" t="s">
        <v>1115</v>
      </c>
      <c r="H61" s="384" t="s">
        <v>1289</v>
      </c>
      <c r="I61" s="384" t="s">
        <v>539</v>
      </c>
      <c r="J61" s="384" t="s">
        <v>1289</v>
      </c>
      <c r="K61" s="384" t="s">
        <v>539</v>
      </c>
      <c r="L61" s="384" t="s">
        <v>1290</v>
      </c>
    </row>
    <row r="62" spans="1:12">
      <c r="A62" s="384">
        <v>4234</v>
      </c>
      <c r="B62" s="723" t="s">
        <v>652</v>
      </c>
      <c r="C62" s="723"/>
      <c r="D62" s="384" t="s">
        <v>653</v>
      </c>
      <c r="E62" s="384" t="s">
        <v>539</v>
      </c>
      <c r="F62" s="384" t="s">
        <v>539</v>
      </c>
      <c r="G62" s="384" t="s">
        <v>653</v>
      </c>
      <c r="H62" s="384" t="s">
        <v>539</v>
      </c>
      <c r="I62" s="384" t="s">
        <v>539</v>
      </c>
      <c r="J62" s="384" t="s">
        <v>539</v>
      </c>
      <c r="K62" s="384" t="s">
        <v>539</v>
      </c>
      <c r="L62" s="384" t="s">
        <v>653</v>
      </c>
    </row>
    <row r="63" spans="1:12">
      <c r="A63" s="384">
        <v>4270</v>
      </c>
      <c r="B63" s="723" t="s">
        <v>654</v>
      </c>
      <c r="C63" s="723"/>
      <c r="D63" s="384" t="s">
        <v>655</v>
      </c>
      <c r="E63" s="384" t="s">
        <v>1118</v>
      </c>
      <c r="F63" s="384" t="s">
        <v>539</v>
      </c>
      <c r="G63" s="384" t="s">
        <v>1119</v>
      </c>
      <c r="H63" s="384" t="s">
        <v>539</v>
      </c>
      <c r="I63" s="384" t="s">
        <v>539</v>
      </c>
      <c r="J63" s="384" t="s">
        <v>539</v>
      </c>
      <c r="K63" s="384" t="s">
        <v>539</v>
      </c>
      <c r="L63" s="384" t="s">
        <v>1119</v>
      </c>
    </row>
    <row r="64" spans="1:12">
      <c r="A64" s="384">
        <v>4290</v>
      </c>
      <c r="B64" s="723" t="s">
        <v>656</v>
      </c>
      <c r="C64" s="723"/>
      <c r="D64" s="384" t="s">
        <v>657</v>
      </c>
      <c r="E64" s="384" t="s">
        <v>539</v>
      </c>
      <c r="F64" s="384" t="s">
        <v>539</v>
      </c>
      <c r="G64" s="384" t="s">
        <v>657</v>
      </c>
      <c r="H64" s="384" t="s">
        <v>539</v>
      </c>
      <c r="I64" s="384" t="s">
        <v>539</v>
      </c>
      <c r="J64" s="384" t="s">
        <v>539</v>
      </c>
      <c r="K64" s="384" t="s">
        <v>539</v>
      </c>
      <c r="L64" s="384" t="s">
        <v>657</v>
      </c>
    </row>
    <row r="65" spans="1:12">
      <c r="A65" s="384">
        <v>4292</v>
      </c>
      <c r="B65" s="723" t="s">
        <v>658</v>
      </c>
      <c r="C65" s="723"/>
      <c r="D65" s="384" t="s">
        <v>659</v>
      </c>
      <c r="E65" s="384" t="s">
        <v>1121</v>
      </c>
      <c r="F65" s="384" t="s">
        <v>539</v>
      </c>
      <c r="G65" s="384" t="s">
        <v>1122</v>
      </c>
      <c r="H65" s="384" t="s">
        <v>539</v>
      </c>
      <c r="I65" s="384" t="s">
        <v>539</v>
      </c>
      <c r="J65" s="384" t="s">
        <v>539</v>
      </c>
      <c r="K65" s="384" t="s">
        <v>539</v>
      </c>
      <c r="L65" s="384" t="s">
        <v>1122</v>
      </c>
    </row>
    <row r="66" spans="1:12">
      <c r="A66" s="384">
        <v>4293</v>
      </c>
      <c r="B66" s="723" t="s">
        <v>660</v>
      </c>
      <c r="C66" s="723"/>
      <c r="D66" s="384" t="s">
        <v>661</v>
      </c>
      <c r="E66" s="384" t="s">
        <v>1123</v>
      </c>
      <c r="F66" s="384" t="s">
        <v>539</v>
      </c>
      <c r="G66" s="384" t="s">
        <v>1124</v>
      </c>
      <c r="H66" s="384" t="s">
        <v>539</v>
      </c>
      <c r="I66" s="384" t="s">
        <v>539</v>
      </c>
      <c r="J66" s="384" t="s">
        <v>539</v>
      </c>
      <c r="K66" s="384" t="s">
        <v>539</v>
      </c>
      <c r="L66" s="384" t="s">
        <v>1124</v>
      </c>
    </row>
    <row r="67" spans="1:12">
      <c r="A67" s="384">
        <v>4294</v>
      </c>
      <c r="B67" s="723" t="s">
        <v>662</v>
      </c>
      <c r="C67" s="723"/>
      <c r="D67" s="384" t="s">
        <v>663</v>
      </c>
      <c r="E67" s="384" t="s">
        <v>1125</v>
      </c>
      <c r="F67" s="384" t="s">
        <v>539</v>
      </c>
      <c r="G67" s="384" t="s">
        <v>1126</v>
      </c>
      <c r="H67" s="384" t="s">
        <v>539</v>
      </c>
      <c r="I67" s="384" t="s">
        <v>539</v>
      </c>
      <c r="J67" s="384" t="s">
        <v>539</v>
      </c>
      <c r="K67" s="384" t="s">
        <v>539</v>
      </c>
      <c r="L67" s="384" t="s">
        <v>1126</v>
      </c>
    </row>
    <row r="68" spans="1:12">
      <c r="A68" s="384">
        <v>4295</v>
      </c>
      <c r="B68" s="723" t="s">
        <v>664</v>
      </c>
      <c r="C68" s="723"/>
      <c r="D68" s="384" t="s">
        <v>665</v>
      </c>
      <c r="E68" s="384" t="s">
        <v>1128</v>
      </c>
      <c r="F68" s="384" t="s">
        <v>539</v>
      </c>
      <c r="G68" s="384" t="s">
        <v>1129</v>
      </c>
      <c r="H68" s="384" t="s">
        <v>842</v>
      </c>
      <c r="I68" s="384" t="s">
        <v>539</v>
      </c>
      <c r="J68" s="384" t="s">
        <v>842</v>
      </c>
      <c r="K68" s="384" t="s">
        <v>539</v>
      </c>
      <c r="L68" s="384" t="s">
        <v>1223</v>
      </c>
    </row>
    <row r="69" spans="1:12">
      <c r="A69" s="384">
        <v>4500</v>
      </c>
      <c r="B69" s="723" t="s">
        <v>666</v>
      </c>
      <c r="C69" s="723"/>
      <c r="D69" s="384" t="s">
        <v>667</v>
      </c>
      <c r="E69" s="384" t="s">
        <v>1131</v>
      </c>
      <c r="F69" s="384" t="s">
        <v>539</v>
      </c>
      <c r="G69" s="384" t="s">
        <v>1132</v>
      </c>
      <c r="H69" s="384" t="s">
        <v>1291</v>
      </c>
      <c r="I69" s="384" t="s">
        <v>716</v>
      </c>
      <c r="J69" s="384" t="s">
        <v>1292</v>
      </c>
      <c r="K69" s="384" t="s">
        <v>539</v>
      </c>
      <c r="L69" s="384" t="s">
        <v>1293</v>
      </c>
    </row>
    <row r="70" spans="1:12">
      <c r="A70" s="384">
        <v>4501</v>
      </c>
      <c r="B70" s="723" t="s">
        <v>668</v>
      </c>
      <c r="C70" s="723"/>
      <c r="D70" s="384" t="s">
        <v>669</v>
      </c>
      <c r="E70" s="384" t="s">
        <v>1136</v>
      </c>
      <c r="F70" s="384" t="s">
        <v>539</v>
      </c>
      <c r="G70" s="384" t="s">
        <v>1137</v>
      </c>
      <c r="H70" s="384" t="s">
        <v>1294</v>
      </c>
      <c r="I70" s="384" t="s">
        <v>717</v>
      </c>
      <c r="J70" s="384" t="s">
        <v>1295</v>
      </c>
      <c r="K70" s="384" t="s">
        <v>539</v>
      </c>
      <c r="L70" s="384" t="s">
        <v>1296</v>
      </c>
    </row>
    <row r="71" spans="1:12">
      <c r="A71" s="384">
        <v>4502</v>
      </c>
      <c r="B71" s="723" t="s">
        <v>670</v>
      </c>
      <c r="C71" s="723"/>
      <c r="D71" s="384" t="s">
        <v>671</v>
      </c>
      <c r="E71" s="384" t="s">
        <v>1141</v>
      </c>
      <c r="F71" s="384" t="s">
        <v>539</v>
      </c>
      <c r="G71" s="384" t="s">
        <v>1142</v>
      </c>
      <c r="H71" s="384" t="s">
        <v>1297</v>
      </c>
      <c r="I71" s="384" t="s">
        <v>718</v>
      </c>
      <c r="J71" s="384" t="s">
        <v>1298</v>
      </c>
      <c r="K71" s="384" t="s">
        <v>539</v>
      </c>
      <c r="L71" s="384" t="s">
        <v>1299</v>
      </c>
    </row>
    <row r="72" spans="1:12">
      <c r="A72" s="384">
        <v>4503</v>
      </c>
      <c r="B72" s="723" t="s">
        <v>672</v>
      </c>
      <c r="C72" s="723"/>
      <c r="D72" s="384" t="s">
        <v>673</v>
      </c>
      <c r="E72" s="384" t="s">
        <v>1146</v>
      </c>
      <c r="F72" s="384" t="s">
        <v>539</v>
      </c>
      <c r="G72" s="384" t="s">
        <v>1147</v>
      </c>
      <c r="H72" s="384" t="s">
        <v>1300</v>
      </c>
      <c r="I72" s="384" t="s">
        <v>700</v>
      </c>
      <c r="J72" s="384" t="s">
        <v>1301</v>
      </c>
      <c r="K72" s="384" t="s">
        <v>539</v>
      </c>
      <c r="L72" s="384" t="s">
        <v>1302</v>
      </c>
    </row>
    <row r="73" spans="1:12">
      <c r="A73" s="384">
        <v>4504</v>
      </c>
      <c r="B73" s="723" t="s">
        <v>674</v>
      </c>
      <c r="C73" s="723"/>
      <c r="D73" s="384" t="s">
        <v>675</v>
      </c>
      <c r="E73" s="384" t="s">
        <v>1151</v>
      </c>
      <c r="F73" s="384" t="s">
        <v>539</v>
      </c>
      <c r="G73" s="384" t="s">
        <v>1152</v>
      </c>
      <c r="H73" s="384" t="s">
        <v>829</v>
      </c>
      <c r="I73" s="384" t="s">
        <v>539</v>
      </c>
      <c r="J73" s="384" t="s">
        <v>829</v>
      </c>
      <c r="K73" s="384" t="s">
        <v>539</v>
      </c>
      <c r="L73" s="384" t="s">
        <v>1232</v>
      </c>
    </row>
    <row r="74" spans="1:12">
      <c r="A74" s="384">
        <v>4505</v>
      </c>
      <c r="B74" s="723" t="s">
        <v>676</v>
      </c>
      <c r="C74" s="723"/>
      <c r="D74" s="384" t="s">
        <v>677</v>
      </c>
      <c r="E74" s="384" t="s">
        <v>1154</v>
      </c>
      <c r="F74" s="384" t="s">
        <v>539</v>
      </c>
      <c r="G74" s="384" t="s">
        <v>1155</v>
      </c>
      <c r="H74" s="384" t="s">
        <v>875</v>
      </c>
      <c r="I74" s="384" t="s">
        <v>539</v>
      </c>
      <c r="J74" s="384" t="s">
        <v>875</v>
      </c>
      <c r="K74" s="384" t="s">
        <v>539</v>
      </c>
      <c r="L74" s="384" t="s">
        <v>1233</v>
      </c>
    </row>
    <row r="75" spans="1:12">
      <c r="A75" s="384">
        <v>4506</v>
      </c>
      <c r="B75" s="723" t="s">
        <v>678</v>
      </c>
      <c r="C75" s="723"/>
      <c r="D75" s="384" t="s">
        <v>679</v>
      </c>
      <c r="E75" s="384" t="s">
        <v>1158</v>
      </c>
      <c r="F75" s="384" t="s">
        <v>539</v>
      </c>
      <c r="G75" s="384" t="s">
        <v>1159</v>
      </c>
      <c r="H75" s="384" t="s">
        <v>539</v>
      </c>
      <c r="I75" s="384" t="s">
        <v>539</v>
      </c>
      <c r="J75" s="384" t="s">
        <v>539</v>
      </c>
      <c r="K75" s="384" t="s">
        <v>539</v>
      </c>
      <c r="L75" s="384" t="s">
        <v>1159</v>
      </c>
    </row>
    <row r="76" spans="1:12">
      <c r="A76" s="384">
        <v>4507</v>
      </c>
      <c r="B76" s="723" t="s">
        <v>680</v>
      </c>
      <c r="C76" s="723"/>
      <c r="D76" s="384" t="s">
        <v>681</v>
      </c>
      <c r="E76" s="384" t="s">
        <v>1161</v>
      </c>
      <c r="F76" s="384" t="s">
        <v>539</v>
      </c>
      <c r="G76" s="384" t="s">
        <v>1162</v>
      </c>
      <c r="H76" s="384" t="s">
        <v>539</v>
      </c>
      <c r="I76" s="384" t="s">
        <v>539</v>
      </c>
      <c r="J76" s="384" t="s">
        <v>539</v>
      </c>
      <c r="K76" s="384" t="s">
        <v>539</v>
      </c>
      <c r="L76" s="384" t="s">
        <v>1162</v>
      </c>
    </row>
    <row r="77" spans="1:12">
      <c r="A77" s="384">
        <v>4509</v>
      </c>
      <c r="B77" s="723" t="s">
        <v>682</v>
      </c>
      <c r="C77" s="723"/>
      <c r="D77" s="384" t="s">
        <v>683</v>
      </c>
      <c r="E77" s="384" t="s">
        <v>1163</v>
      </c>
      <c r="F77" s="384" t="s">
        <v>539</v>
      </c>
      <c r="G77" s="384" t="s">
        <v>1164</v>
      </c>
      <c r="H77" s="384" t="s">
        <v>539</v>
      </c>
      <c r="I77" s="384" t="s">
        <v>539</v>
      </c>
      <c r="J77" s="384" t="s">
        <v>539</v>
      </c>
      <c r="K77" s="384" t="s">
        <v>539</v>
      </c>
      <c r="L77" s="384" t="s">
        <v>1164</v>
      </c>
    </row>
    <row r="78" spans="1:12">
      <c r="A78" s="384">
        <v>4511</v>
      </c>
      <c r="B78" s="723" t="s">
        <v>684</v>
      </c>
      <c r="C78" s="723"/>
      <c r="D78" s="384" t="s">
        <v>685</v>
      </c>
      <c r="E78" s="384" t="s">
        <v>1165</v>
      </c>
      <c r="F78" s="384" t="s">
        <v>539</v>
      </c>
      <c r="G78" s="384" t="s">
        <v>1166</v>
      </c>
      <c r="H78" s="384" t="s">
        <v>847</v>
      </c>
      <c r="I78" s="384" t="s">
        <v>701</v>
      </c>
      <c r="J78" s="384" t="s">
        <v>848</v>
      </c>
      <c r="K78" s="384" t="s">
        <v>539</v>
      </c>
      <c r="L78" s="384" t="s">
        <v>1303</v>
      </c>
    </row>
    <row r="79" spans="1:12">
      <c r="A79" s="384">
        <v>4512</v>
      </c>
      <c r="B79" s="723" t="s">
        <v>687</v>
      </c>
      <c r="C79" s="723"/>
      <c r="D79" s="384" t="s">
        <v>688</v>
      </c>
      <c r="E79" s="384" t="s">
        <v>1168</v>
      </c>
      <c r="F79" s="384" t="s">
        <v>539</v>
      </c>
      <c r="G79" s="384" t="s">
        <v>1169</v>
      </c>
      <c r="H79" s="384" t="s">
        <v>539</v>
      </c>
      <c r="I79" s="384" t="s">
        <v>539</v>
      </c>
      <c r="J79" s="384" t="s">
        <v>539</v>
      </c>
      <c r="K79" s="384" t="s">
        <v>539</v>
      </c>
      <c r="L79" s="384" t="s">
        <v>1169</v>
      </c>
    </row>
    <row r="80" spans="1:12">
      <c r="A80" s="384">
        <v>4986</v>
      </c>
      <c r="B80" s="723" t="s">
        <v>689</v>
      </c>
      <c r="C80" s="723"/>
      <c r="D80" s="384" t="s">
        <v>690</v>
      </c>
      <c r="E80" s="384" t="s">
        <v>1170</v>
      </c>
      <c r="F80" s="384" t="s">
        <v>539</v>
      </c>
      <c r="G80" s="384" t="s">
        <v>1171</v>
      </c>
      <c r="H80" s="384" t="s">
        <v>539</v>
      </c>
      <c r="I80" s="384" t="s">
        <v>539</v>
      </c>
      <c r="J80" s="384" t="s">
        <v>539</v>
      </c>
      <c r="K80" s="384" t="s">
        <v>539</v>
      </c>
      <c r="L80" s="384" t="s">
        <v>1171</v>
      </c>
    </row>
    <row r="81" spans="1:12">
      <c r="A81" s="384">
        <v>8001</v>
      </c>
      <c r="B81" s="723" t="s">
        <v>691</v>
      </c>
      <c r="C81" s="723"/>
      <c r="D81" s="384" t="s">
        <v>692</v>
      </c>
      <c r="E81" s="384" t="s">
        <v>539</v>
      </c>
      <c r="F81" s="384" t="s">
        <v>539</v>
      </c>
      <c r="G81" s="384" t="s">
        <v>692</v>
      </c>
      <c r="H81" s="384" t="s">
        <v>539</v>
      </c>
      <c r="I81" s="384" t="s">
        <v>539</v>
      </c>
      <c r="J81" s="384" t="s">
        <v>539</v>
      </c>
      <c r="K81" s="384" t="s">
        <v>539</v>
      </c>
      <c r="L81" s="384" t="s">
        <v>692</v>
      </c>
    </row>
    <row r="82" spans="1:12">
      <c r="A82" s="384">
        <v>8024</v>
      </c>
      <c r="B82" s="723" t="s">
        <v>693</v>
      </c>
      <c r="C82" s="723"/>
      <c r="D82" s="384" t="s">
        <v>694</v>
      </c>
      <c r="E82" s="384" t="s">
        <v>539</v>
      </c>
      <c r="F82" s="384" t="s">
        <v>539</v>
      </c>
      <c r="G82" s="384" t="s">
        <v>694</v>
      </c>
      <c r="H82" s="384" t="s">
        <v>539</v>
      </c>
      <c r="I82" s="384" t="s">
        <v>539</v>
      </c>
      <c r="J82" s="384" t="s">
        <v>539</v>
      </c>
      <c r="K82" s="384" t="s">
        <v>539</v>
      </c>
      <c r="L82" s="384" t="s">
        <v>694</v>
      </c>
    </row>
    <row r="83" spans="1:12">
      <c r="A83" s="384">
        <v>8050</v>
      </c>
      <c r="B83" s="723" t="s">
        <v>695</v>
      </c>
      <c r="C83" s="723"/>
      <c r="D83" s="384" t="s">
        <v>696</v>
      </c>
      <c r="E83" s="384" t="s">
        <v>539</v>
      </c>
      <c r="F83" s="384" t="s">
        <v>539</v>
      </c>
      <c r="G83" s="384" t="s">
        <v>696</v>
      </c>
      <c r="H83" s="384" t="s">
        <v>539</v>
      </c>
      <c r="I83" s="384" t="s">
        <v>539</v>
      </c>
      <c r="J83" s="384" t="s">
        <v>539</v>
      </c>
      <c r="K83" s="384" t="s">
        <v>539</v>
      </c>
      <c r="L83" s="384" t="s">
        <v>696</v>
      </c>
    </row>
    <row r="85" spans="1:12">
      <c r="A85" s="724" t="s">
        <v>190</v>
      </c>
      <c r="B85" s="724"/>
      <c r="C85" s="724"/>
      <c r="D85" s="385" t="s">
        <v>697</v>
      </c>
      <c r="E85" s="385" t="s">
        <v>1172</v>
      </c>
      <c r="F85" s="385" t="s">
        <v>968</v>
      </c>
      <c r="G85" s="385" t="s">
        <v>1173</v>
      </c>
      <c r="H85" s="385" t="s">
        <v>1304</v>
      </c>
      <c r="I85" s="385" t="s">
        <v>1305</v>
      </c>
      <c r="J85" s="385" t="s">
        <v>1306</v>
      </c>
      <c r="K85" s="385" t="s">
        <v>968</v>
      </c>
      <c r="L85" s="385" t="s">
        <v>1307</v>
      </c>
    </row>
  </sheetData>
  <mergeCells count="86">
    <mergeCell ref="B10:C10"/>
    <mergeCell ref="D6:D7"/>
    <mergeCell ref="E6:E7"/>
    <mergeCell ref="F6:F7"/>
    <mergeCell ref="G6:G7"/>
    <mergeCell ref="J6:J7"/>
    <mergeCell ref="K6:K7"/>
    <mergeCell ref="L6:L7"/>
    <mergeCell ref="B8:C8"/>
    <mergeCell ref="B9:C9"/>
    <mergeCell ref="H6:H7"/>
    <mergeCell ref="I6:I7"/>
    <mergeCell ref="B22:C22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34:C34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46:C46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58:C58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70:C70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A85:C85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</mergeCells>
  <pageMargins left="0.511811024" right="0.511811024" top="0.78740157499999996" bottom="0.78740157499999996" header="0.31496062000000002" footer="0.3149606200000000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131"/>
  <sheetViews>
    <sheetView topLeftCell="A116" workbookViewId="0">
      <selection activeCell="N141" sqref="N141"/>
    </sheetView>
  </sheetViews>
  <sheetFormatPr defaultRowHeight="15"/>
  <cols>
    <col min="1" max="1" width="1.7109375" customWidth="1"/>
    <col min="2" max="2" width="28.7109375" customWidth="1"/>
    <col min="3" max="4" width="11.7109375" bestFit="1" customWidth="1"/>
    <col min="5" max="5" width="10.85546875" bestFit="1" customWidth="1"/>
    <col min="6" max="6" width="11.7109375" bestFit="1" customWidth="1"/>
    <col min="7" max="7" width="7.7109375" bestFit="1" customWidth="1"/>
    <col min="8" max="9" width="10.85546875" bestFit="1" customWidth="1"/>
    <col min="10" max="10" width="11.7109375" bestFit="1" customWidth="1"/>
    <col min="11" max="11" width="7.85546875" bestFit="1" customWidth="1"/>
    <col min="12" max="12" width="10.85546875" bestFit="1" customWidth="1"/>
  </cols>
  <sheetData>
    <row r="1" spans="1:12">
      <c r="A1" s="698" t="s">
        <v>881</v>
      </c>
      <c r="B1" s="698"/>
      <c r="C1" s="698"/>
      <c r="D1" s="698"/>
      <c r="E1" s="698"/>
      <c r="F1" s="698"/>
      <c r="G1" s="698"/>
      <c r="H1" s="698"/>
      <c r="I1" s="698"/>
      <c r="J1" s="698"/>
      <c r="K1" s="698"/>
      <c r="L1" s="698"/>
    </row>
    <row r="2" spans="1:12">
      <c r="A2" s="698" t="s">
        <v>1308</v>
      </c>
      <c r="B2" s="698"/>
      <c r="C2" s="698"/>
      <c r="D2" s="698"/>
      <c r="E2" s="698"/>
      <c r="F2" s="698"/>
      <c r="G2" s="698"/>
      <c r="H2" s="698"/>
      <c r="I2" s="698"/>
      <c r="J2" s="698"/>
      <c r="K2" s="698"/>
      <c r="L2" s="698"/>
    </row>
    <row r="3" spans="1:12">
      <c r="A3" s="699" t="s">
        <v>1309</v>
      </c>
      <c r="B3" s="699"/>
      <c r="C3" s="699"/>
      <c r="D3" s="699"/>
      <c r="E3" s="699"/>
      <c r="F3" s="699"/>
      <c r="G3" s="699"/>
      <c r="H3" s="699"/>
      <c r="I3" s="699"/>
      <c r="J3" s="699"/>
      <c r="K3" s="699"/>
      <c r="L3" s="699"/>
    </row>
    <row r="4" spans="1:12">
      <c r="A4" s="698" t="s">
        <v>1310</v>
      </c>
      <c r="B4" s="698"/>
      <c r="C4" s="698"/>
      <c r="D4" s="698"/>
      <c r="E4" s="698"/>
      <c r="F4" s="698"/>
      <c r="G4" s="698"/>
      <c r="H4" s="698"/>
      <c r="I4" s="698"/>
      <c r="J4" s="698"/>
      <c r="K4" s="698"/>
      <c r="L4" s="698"/>
    </row>
    <row r="5" spans="1:12">
      <c r="A5" s="698" t="s">
        <v>885</v>
      </c>
      <c r="B5" s="698"/>
      <c r="C5" s="698"/>
      <c r="D5" s="698"/>
      <c r="E5" s="698"/>
      <c r="F5" s="698"/>
      <c r="G5" s="698"/>
      <c r="H5" s="698"/>
      <c r="I5" s="698"/>
      <c r="J5" s="698"/>
      <c r="K5" s="698"/>
      <c r="L5" s="698"/>
    </row>
    <row r="7" spans="1:12">
      <c r="A7" s="698" t="s">
        <v>1311</v>
      </c>
      <c r="B7" s="698"/>
      <c r="C7" s="698"/>
      <c r="D7" s="698"/>
      <c r="E7" s="698"/>
      <c r="L7" s="477" t="s">
        <v>1312</v>
      </c>
    </row>
    <row r="8" spans="1:12">
      <c r="A8" s="729" t="s">
        <v>1313</v>
      </c>
      <c r="B8" s="730"/>
      <c r="C8" s="478" t="s">
        <v>1314</v>
      </c>
      <c r="D8" s="478" t="s">
        <v>1314</v>
      </c>
      <c r="E8" s="735" t="s">
        <v>900</v>
      </c>
      <c r="F8" s="735"/>
      <c r="G8" s="735"/>
      <c r="H8" s="478" t="s">
        <v>1315</v>
      </c>
      <c r="I8" s="735" t="s">
        <v>901</v>
      </c>
      <c r="J8" s="735"/>
      <c r="K8" s="735"/>
      <c r="L8" s="479" t="s">
        <v>1316</v>
      </c>
    </row>
    <row r="9" spans="1:12">
      <c r="A9" s="731"/>
      <c r="B9" s="732"/>
      <c r="C9" s="480" t="s">
        <v>1317</v>
      </c>
      <c r="D9" s="480" t="s">
        <v>1318</v>
      </c>
      <c r="E9" s="480" t="s">
        <v>1319</v>
      </c>
      <c r="F9" s="480" t="s">
        <v>920</v>
      </c>
      <c r="G9" s="480" t="s">
        <v>291</v>
      </c>
      <c r="H9" s="480" t="s">
        <v>1320</v>
      </c>
      <c r="I9" s="480" t="s">
        <v>1319</v>
      </c>
      <c r="J9" s="480" t="s">
        <v>920</v>
      </c>
      <c r="K9" s="480" t="s">
        <v>291</v>
      </c>
      <c r="L9" s="481" t="s">
        <v>1320</v>
      </c>
    </row>
    <row r="10" spans="1:12">
      <c r="A10" s="733"/>
      <c r="B10" s="734"/>
      <c r="C10" s="482" t="s">
        <v>1320</v>
      </c>
      <c r="D10" s="482" t="s">
        <v>922</v>
      </c>
      <c r="E10" s="482" t="s">
        <v>1320</v>
      </c>
      <c r="F10" s="482" t="s">
        <v>923</v>
      </c>
      <c r="G10" s="482" t="s">
        <v>1321</v>
      </c>
      <c r="H10" s="482" t="s">
        <v>1322</v>
      </c>
      <c r="I10" s="482" t="s">
        <v>1320</v>
      </c>
      <c r="J10" s="482" t="s">
        <v>1323</v>
      </c>
      <c r="K10" s="482" t="s">
        <v>1324</v>
      </c>
      <c r="L10" s="483" t="s">
        <v>1325</v>
      </c>
    </row>
    <row r="11" spans="1:12" ht="0.95" customHeight="1"/>
    <row r="12" spans="1:12">
      <c r="A12" s="484" t="s">
        <v>1326</v>
      </c>
      <c r="B12" s="485"/>
      <c r="C12" s="486">
        <v>110886712.01000001</v>
      </c>
      <c r="D12" s="486">
        <v>125621292.61</v>
      </c>
      <c r="E12" s="486">
        <v>18529558.84</v>
      </c>
      <c r="F12" s="486">
        <v>93080748.099999994</v>
      </c>
      <c r="G12" s="486">
        <v>83.27</v>
      </c>
      <c r="H12" s="486">
        <v>32540544.510000002</v>
      </c>
      <c r="I12" s="486">
        <v>18563647.390000001</v>
      </c>
      <c r="J12" s="486">
        <v>88625024.079999998</v>
      </c>
      <c r="K12" s="486">
        <v>82.58</v>
      </c>
      <c r="L12" s="487">
        <v>36996268.530000001</v>
      </c>
    </row>
    <row r="13" spans="1:12">
      <c r="A13" s="727" t="s">
        <v>1327</v>
      </c>
      <c r="B13" s="728"/>
      <c r="C13" s="488">
        <v>3687000</v>
      </c>
      <c r="D13" s="488">
        <v>3628000</v>
      </c>
      <c r="E13" s="488">
        <v>439791.09</v>
      </c>
      <c r="F13" s="488">
        <v>2681644.6</v>
      </c>
      <c r="G13" s="489">
        <v>2.4</v>
      </c>
      <c r="H13" s="488">
        <v>946355.4</v>
      </c>
      <c r="I13" s="488">
        <v>490627.93</v>
      </c>
      <c r="J13" s="488">
        <v>2589662.63</v>
      </c>
      <c r="K13" s="488">
        <v>2.41</v>
      </c>
      <c r="L13" s="490">
        <v>1038337.37</v>
      </c>
    </row>
    <row r="14" spans="1:12">
      <c r="B14" s="491" t="s">
        <v>1328</v>
      </c>
      <c r="C14" s="488">
        <v>3329000</v>
      </c>
      <c r="D14" s="488">
        <v>3270000</v>
      </c>
      <c r="E14" s="488">
        <v>403513</v>
      </c>
      <c r="F14" s="488">
        <v>2442781.1800000002</v>
      </c>
      <c r="G14" s="489">
        <v>2.19</v>
      </c>
      <c r="H14" s="488">
        <v>827218.82</v>
      </c>
      <c r="I14" s="488">
        <v>454349.84</v>
      </c>
      <c r="J14" s="488">
        <v>2350799.21</v>
      </c>
      <c r="K14" s="489">
        <v>2.19</v>
      </c>
      <c r="L14" s="490">
        <v>919200.79</v>
      </c>
    </row>
    <row r="15" spans="1:12">
      <c r="B15" s="491" t="s">
        <v>1329</v>
      </c>
      <c r="C15" s="488">
        <v>358000</v>
      </c>
      <c r="D15" s="488">
        <v>358000</v>
      </c>
      <c r="E15" s="488">
        <v>36278.089999999997</v>
      </c>
      <c r="F15" s="488">
        <v>238863.42</v>
      </c>
      <c r="G15" s="489">
        <v>0.21</v>
      </c>
      <c r="H15" s="488">
        <v>119136.58</v>
      </c>
      <c r="I15" s="488">
        <v>36278.089999999997</v>
      </c>
      <c r="J15" s="488">
        <v>238863.42</v>
      </c>
      <c r="K15" s="489">
        <v>0.22</v>
      </c>
      <c r="L15" s="490">
        <v>119136.58</v>
      </c>
    </row>
    <row r="16" spans="1:12">
      <c r="A16" s="727" t="s">
        <v>1330</v>
      </c>
      <c r="B16" s="728"/>
      <c r="C16" s="488">
        <v>11713</v>
      </c>
      <c r="D16" s="488">
        <v>11713</v>
      </c>
      <c r="E16" s="488">
        <v>0</v>
      </c>
      <c r="F16" s="488">
        <v>1878.83</v>
      </c>
      <c r="G16" s="489">
        <v>0</v>
      </c>
      <c r="H16" s="488">
        <v>9834.17</v>
      </c>
      <c r="I16" s="488">
        <v>0</v>
      </c>
      <c r="J16" s="488">
        <v>1878.83</v>
      </c>
      <c r="K16" s="488">
        <v>0</v>
      </c>
      <c r="L16" s="490">
        <v>9834.17</v>
      </c>
    </row>
    <row r="17" spans="1:12">
      <c r="B17" s="491" t="s">
        <v>1331</v>
      </c>
      <c r="C17" s="488">
        <v>11713</v>
      </c>
      <c r="D17" s="488">
        <v>11713</v>
      </c>
      <c r="E17" s="488">
        <v>0</v>
      </c>
      <c r="F17" s="488">
        <v>1878.83</v>
      </c>
      <c r="G17" s="489">
        <v>0</v>
      </c>
      <c r="H17" s="488">
        <v>9834.17</v>
      </c>
      <c r="I17" s="488">
        <v>0</v>
      </c>
      <c r="J17" s="488">
        <v>1878.83</v>
      </c>
      <c r="K17" s="489">
        <v>0</v>
      </c>
      <c r="L17" s="490">
        <v>9834.17</v>
      </c>
    </row>
    <row r="18" spans="1:12">
      <c r="A18" s="727" t="s">
        <v>1332</v>
      </c>
      <c r="B18" s="728"/>
      <c r="C18" s="488">
        <v>17377146.699999999</v>
      </c>
      <c r="D18" s="488">
        <v>18355814.93</v>
      </c>
      <c r="E18" s="488">
        <v>2464559.15</v>
      </c>
      <c r="F18" s="488">
        <v>13629600.6</v>
      </c>
      <c r="G18" s="489">
        <v>12.19</v>
      </c>
      <c r="H18" s="488">
        <v>4726214.33</v>
      </c>
      <c r="I18" s="488">
        <v>2665605.65</v>
      </c>
      <c r="J18" s="488">
        <v>12981677.689999999</v>
      </c>
      <c r="K18" s="488">
        <v>12.1</v>
      </c>
      <c r="L18" s="490">
        <v>5374137.2400000002</v>
      </c>
    </row>
    <row r="19" spans="1:12">
      <c r="B19" s="491" t="s">
        <v>1333</v>
      </c>
      <c r="C19" s="488">
        <v>14371288.51</v>
      </c>
      <c r="D19" s="488">
        <v>15383137.66</v>
      </c>
      <c r="E19" s="488">
        <v>2046927.42</v>
      </c>
      <c r="F19" s="488">
        <v>11270194.810000001</v>
      </c>
      <c r="G19" s="489">
        <v>10.08</v>
      </c>
      <c r="H19" s="488">
        <v>4112942.85</v>
      </c>
      <c r="I19" s="488">
        <v>2206331.54</v>
      </c>
      <c r="J19" s="488">
        <v>10700362.41</v>
      </c>
      <c r="K19" s="489">
        <v>9.9700000000000006</v>
      </c>
      <c r="L19" s="490">
        <v>4682775.25</v>
      </c>
    </row>
    <row r="20" spans="1:12">
      <c r="B20" s="491" t="s">
        <v>1334</v>
      </c>
      <c r="C20" s="488">
        <v>54000</v>
      </c>
      <c r="D20" s="488">
        <v>54000</v>
      </c>
      <c r="E20" s="488">
        <v>0</v>
      </c>
      <c r="F20" s="488">
        <v>0</v>
      </c>
      <c r="G20" s="489">
        <v>0</v>
      </c>
      <c r="H20" s="488">
        <v>54000</v>
      </c>
      <c r="I20" s="488">
        <v>0</v>
      </c>
      <c r="J20" s="488">
        <v>0</v>
      </c>
      <c r="K20" s="489">
        <v>0</v>
      </c>
      <c r="L20" s="490">
        <v>54000</v>
      </c>
    </row>
    <row r="21" spans="1:12">
      <c r="B21" s="491" t="s">
        <v>1335</v>
      </c>
      <c r="C21" s="488">
        <v>5000</v>
      </c>
      <c r="D21" s="488">
        <v>5000</v>
      </c>
      <c r="E21" s="488">
        <v>0</v>
      </c>
      <c r="F21" s="488">
        <v>0</v>
      </c>
      <c r="G21" s="489">
        <v>0</v>
      </c>
      <c r="H21" s="488">
        <v>5000</v>
      </c>
      <c r="I21" s="488">
        <v>0</v>
      </c>
      <c r="J21" s="488">
        <v>0</v>
      </c>
      <c r="K21" s="489">
        <v>0</v>
      </c>
      <c r="L21" s="490">
        <v>5000</v>
      </c>
    </row>
    <row r="22" spans="1:12">
      <c r="B22" s="491" t="s">
        <v>1336</v>
      </c>
      <c r="C22" s="488">
        <v>1000</v>
      </c>
      <c r="D22" s="488">
        <v>1000</v>
      </c>
      <c r="E22" s="488">
        <v>0</v>
      </c>
      <c r="F22" s="488">
        <v>0</v>
      </c>
      <c r="G22" s="489">
        <v>0</v>
      </c>
      <c r="H22" s="488">
        <v>1000</v>
      </c>
      <c r="I22" s="488">
        <v>0</v>
      </c>
      <c r="J22" s="488">
        <v>0</v>
      </c>
      <c r="K22" s="489">
        <v>0</v>
      </c>
      <c r="L22" s="490">
        <v>1000</v>
      </c>
    </row>
    <row r="23" spans="1:12">
      <c r="B23" s="491" t="s">
        <v>1337</v>
      </c>
      <c r="C23" s="488">
        <v>107999</v>
      </c>
      <c r="D23" s="488">
        <v>85000</v>
      </c>
      <c r="E23" s="488">
        <v>-2379.35</v>
      </c>
      <c r="F23" s="488">
        <v>68054.210000000006</v>
      </c>
      <c r="G23" s="489">
        <v>0.06</v>
      </c>
      <c r="H23" s="488">
        <v>16945.79</v>
      </c>
      <c r="I23" s="488">
        <v>6672.69</v>
      </c>
      <c r="J23" s="488">
        <v>60054.21</v>
      </c>
      <c r="K23" s="489">
        <v>0.06</v>
      </c>
      <c r="L23" s="490">
        <v>24945.79</v>
      </c>
    </row>
    <row r="24" spans="1:12">
      <c r="B24" s="491" t="s">
        <v>1338</v>
      </c>
      <c r="C24" s="488">
        <v>21778.45</v>
      </c>
      <c r="D24" s="488">
        <v>15281.9</v>
      </c>
      <c r="E24" s="488">
        <v>2468</v>
      </c>
      <c r="F24" s="488">
        <v>7529.55</v>
      </c>
      <c r="G24" s="489">
        <v>0.01</v>
      </c>
      <c r="H24" s="488">
        <v>7752.35</v>
      </c>
      <c r="I24" s="488">
        <v>3453</v>
      </c>
      <c r="J24" s="488">
        <v>6014.55</v>
      </c>
      <c r="K24" s="489">
        <v>0.01</v>
      </c>
      <c r="L24" s="490">
        <v>9267.35</v>
      </c>
    </row>
    <row r="25" spans="1:12">
      <c r="B25" s="491" t="s">
        <v>1339</v>
      </c>
      <c r="C25" s="488">
        <v>30100</v>
      </c>
      <c r="D25" s="488">
        <v>4600</v>
      </c>
      <c r="E25" s="488">
        <v>1260</v>
      </c>
      <c r="F25" s="488">
        <v>1260</v>
      </c>
      <c r="G25" s="489">
        <v>0</v>
      </c>
      <c r="H25" s="488">
        <v>3340</v>
      </c>
      <c r="I25" s="488">
        <v>1260</v>
      </c>
      <c r="J25" s="488">
        <v>1260</v>
      </c>
      <c r="K25" s="489">
        <v>0</v>
      </c>
      <c r="L25" s="490">
        <v>3340</v>
      </c>
    </row>
    <row r="26" spans="1:12">
      <c r="B26" s="491" t="s">
        <v>1340</v>
      </c>
      <c r="C26" s="488">
        <v>5000</v>
      </c>
      <c r="D26" s="488">
        <v>5000</v>
      </c>
      <c r="E26" s="488">
        <v>997.14</v>
      </c>
      <c r="F26" s="488">
        <v>2516.14</v>
      </c>
      <c r="G26" s="489">
        <v>0</v>
      </c>
      <c r="H26" s="488">
        <v>2483.86</v>
      </c>
      <c r="I26" s="488">
        <v>336.9</v>
      </c>
      <c r="J26" s="488">
        <v>845.9</v>
      </c>
      <c r="K26" s="489">
        <v>0</v>
      </c>
      <c r="L26" s="490">
        <v>4154.1000000000004</v>
      </c>
    </row>
    <row r="27" spans="1:12">
      <c r="B27" s="491" t="s">
        <v>1329</v>
      </c>
      <c r="C27" s="488">
        <v>352480.47</v>
      </c>
      <c r="D27" s="488">
        <v>381893.87</v>
      </c>
      <c r="E27" s="488">
        <v>61172.57</v>
      </c>
      <c r="F27" s="488">
        <v>279193.87</v>
      </c>
      <c r="G27" s="489">
        <v>0.25</v>
      </c>
      <c r="H27" s="488">
        <v>102700</v>
      </c>
      <c r="I27" s="488">
        <v>61172.57</v>
      </c>
      <c r="J27" s="488">
        <v>279193.87</v>
      </c>
      <c r="K27" s="489">
        <v>0.26</v>
      </c>
      <c r="L27" s="490">
        <v>102700</v>
      </c>
    </row>
    <row r="28" spans="1:12">
      <c r="B28" s="491" t="s">
        <v>1341</v>
      </c>
      <c r="C28" s="488">
        <v>2137591.9500000002</v>
      </c>
      <c r="D28" s="488">
        <v>2134691.9500000002</v>
      </c>
      <c r="E28" s="488">
        <v>334913.37</v>
      </c>
      <c r="F28" s="488">
        <v>1910084.94</v>
      </c>
      <c r="G28" s="489">
        <v>1.71</v>
      </c>
      <c r="H28" s="488">
        <v>224607.01</v>
      </c>
      <c r="I28" s="488">
        <v>372807.47</v>
      </c>
      <c r="J28" s="488">
        <v>1865993.18</v>
      </c>
      <c r="K28" s="489">
        <v>1.74</v>
      </c>
      <c r="L28" s="490">
        <v>268698.77</v>
      </c>
    </row>
    <row r="29" spans="1:12">
      <c r="B29" s="491" t="s">
        <v>1342</v>
      </c>
      <c r="C29" s="488">
        <v>290908.32</v>
      </c>
      <c r="D29" s="488">
        <v>286209.55</v>
      </c>
      <c r="E29" s="488">
        <v>19200</v>
      </c>
      <c r="F29" s="488">
        <v>90767.08</v>
      </c>
      <c r="G29" s="489">
        <v>0.08</v>
      </c>
      <c r="H29" s="488">
        <v>195442.47</v>
      </c>
      <c r="I29" s="488">
        <v>13571.48</v>
      </c>
      <c r="J29" s="488">
        <v>67953.570000000007</v>
      </c>
      <c r="K29" s="489">
        <v>0.06</v>
      </c>
      <c r="L29" s="490">
        <v>218255.98</v>
      </c>
    </row>
    <row r="30" spans="1:12">
      <c r="A30" s="727" t="s">
        <v>1343</v>
      </c>
      <c r="B30" s="728"/>
      <c r="C30" s="488">
        <v>225919.9</v>
      </c>
      <c r="D30" s="488">
        <v>283389.90000000002</v>
      </c>
      <c r="E30" s="488">
        <v>9888</v>
      </c>
      <c r="F30" s="488">
        <v>112705.54</v>
      </c>
      <c r="G30" s="489">
        <v>0.1</v>
      </c>
      <c r="H30" s="488">
        <v>170684.36</v>
      </c>
      <c r="I30" s="488">
        <v>7311.41</v>
      </c>
      <c r="J30" s="488">
        <v>94028.84</v>
      </c>
      <c r="K30" s="488">
        <v>0.09</v>
      </c>
      <c r="L30" s="490">
        <v>189361.06</v>
      </c>
    </row>
    <row r="31" spans="1:12">
      <c r="B31" s="491" t="s">
        <v>1344</v>
      </c>
      <c r="C31" s="488">
        <v>600</v>
      </c>
      <c r="D31" s="488">
        <v>600</v>
      </c>
      <c r="E31" s="488">
        <v>0</v>
      </c>
      <c r="F31" s="488">
        <v>0</v>
      </c>
      <c r="G31" s="489">
        <v>0</v>
      </c>
      <c r="H31" s="488">
        <v>600</v>
      </c>
      <c r="I31" s="488">
        <v>0</v>
      </c>
      <c r="J31" s="488">
        <v>0</v>
      </c>
      <c r="K31" s="489">
        <v>0</v>
      </c>
      <c r="L31" s="490">
        <v>600</v>
      </c>
    </row>
    <row r="32" spans="1:12">
      <c r="B32" s="491" t="s">
        <v>1345</v>
      </c>
      <c r="C32" s="488">
        <v>90815.2</v>
      </c>
      <c r="D32" s="488">
        <v>109785.2</v>
      </c>
      <c r="E32" s="488">
        <v>1193</v>
      </c>
      <c r="F32" s="488">
        <v>67067.16</v>
      </c>
      <c r="G32" s="489">
        <v>0.06</v>
      </c>
      <c r="H32" s="488">
        <v>42718.04</v>
      </c>
      <c r="I32" s="488">
        <v>7311.41</v>
      </c>
      <c r="J32" s="488">
        <v>58354.27</v>
      </c>
      <c r="K32" s="489">
        <v>0.05</v>
      </c>
      <c r="L32" s="490">
        <v>51430.93</v>
      </c>
    </row>
    <row r="33" spans="1:12">
      <c r="B33" s="491" t="s">
        <v>1346</v>
      </c>
      <c r="C33" s="488">
        <v>134504.70000000001</v>
      </c>
      <c r="D33" s="488">
        <v>173004.7</v>
      </c>
      <c r="E33" s="488">
        <v>8695</v>
      </c>
      <c r="F33" s="488">
        <v>45638.38</v>
      </c>
      <c r="G33" s="489">
        <v>0.04</v>
      </c>
      <c r="H33" s="488">
        <v>127366.32</v>
      </c>
      <c r="I33" s="488">
        <v>0</v>
      </c>
      <c r="J33" s="488">
        <v>35674.57</v>
      </c>
      <c r="K33" s="489">
        <v>0.03</v>
      </c>
      <c r="L33" s="490">
        <v>137330.13</v>
      </c>
    </row>
    <row r="34" spans="1:12">
      <c r="A34" s="727" t="s">
        <v>1347</v>
      </c>
      <c r="B34" s="728"/>
      <c r="C34" s="488">
        <v>3350447.4</v>
      </c>
      <c r="D34" s="488">
        <v>3744604.11</v>
      </c>
      <c r="E34" s="488">
        <v>461236.05</v>
      </c>
      <c r="F34" s="488">
        <v>2826076.37</v>
      </c>
      <c r="G34" s="489">
        <v>2.5299999999999998</v>
      </c>
      <c r="H34" s="488">
        <v>918527.74</v>
      </c>
      <c r="I34" s="488">
        <v>482227.23</v>
      </c>
      <c r="J34" s="488">
        <v>2638786.17</v>
      </c>
      <c r="K34" s="488">
        <v>2.46</v>
      </c>
      <c r="L34" s="490">
        <v>1105817.94</v>
      </c>
    </row>
    <row r="35" spans="1:12">
      <c r="B35" s="491" t="s">
        <v>1333</v>
      </c>
      <c r="C35" s="488">
        <v>2121390.0499999998</v>
      </c>
      <c r="D35" s="488">
        <v>2068664.31</v>
      </c>
      <c r="E35" s="488">
        <v>303148.49</v>
      </c>
      <c r="F35" s="488">
        <v>1570513.05</v>
      </c>
      <c r="G35" s="489">
        <v>1.4</v>
      </c>
      <c r="H35" s="488">
        <v>498151.26</v>
      </c>
      <c r="I35" s="488">
        <v>295435.40999999997</v>
      </c>
      <c r="J35" s="488">
        <v>1535754.94</v>
      </c>
      <c r="K35" s="489">
        <v>1.43</v>
      </c>
      <c r="L35" s="490">
        <v>532909.37</v>
      </c>
    </row>
    <row r="36" spans="1:12">
      <c r="B36" s="491" t="s">
        <v>1348</v>
      </c>
      <c r="C36" s="488">
        <v>55423</v>
      </c>
      <c r="D36" s="488">
        <v>59843</v>
      </c>
      <c r="E36" s="488">
        <v>11180</v>
      </c>
      <c r="F36" s="488">
        <v>57500</v>
      </c>
      <c r="G36" s="489">
        <v>0.05</v>
      </c>
      <c r="H36" s="488">
        <v>2343</v>
      </c>
      <c r="I36" s="488">
        <v>0</v>
      </c>
      <c r="J36" s="488">
        <v>46320</v>
      </c>
      <c r="K36" s="489">
        <v>0.04</v>
      </c>
      <c r="L36" s="490">
        <v>13523</v>
      </c>
    </row>
    <row r="37" spans="1:12">
      <c r="B37" s="491" t="s">
        <v>1349</v>
      </c>
      <c r="C37" s="488">
        <v>55111</v>
      </c>
      <c r="D37" s="488">
        <v>127865.66</v>
      </c>
      <c r="E37" s="488">
        <v>0</v>
      </c>
      <c r="F37" s="488">
        <v>57754.66</v>
      </c>
      <c r="G37" s="489">
        <v>0.05</v>
      </c>
      <c r="H37" s="488">
        <v>70111</v>
      </c>
      <c r="I37" s="488">
        <v>6188.12</v>
      </c>
      <c r="J37" s="488">
        <v>43570.18</v>
      </c>
      <c r="K37" s="489">
        <v>0.04</v>
      </c>
      <c r="L37" s="490">
        <v>84295.48</v>
      </c>
    </row>
    <row r="38" spans="1:12">
      <c r="B38" s="491" t="s">
        <v>1350</v>
      </c>
      <c r="C38" s="488">
        <v>394680.21</v>
      </c>
      <c r="D38" s="488">
        <v>561145.57999999996</v>
      </c>
      <c r="E38" s="488">
        <v>42682.25</v>
      </c>
      <c r="F38" s="488">
        <v>439844.63</v>
      </c>
      <c r="G38" s="489">
        <v>0.39</v>
      </c>
      <c r="H38" s="488">
        <v>121300.95</v>
      </c>
      <c r="I38" s="488">
        <v>45673.79</v>
      </c>
      <c r="J38" s="488">
        <v>360792.7</v>
      </c>
      <c r="K38" s="489">
        <v>0.34</v>
      </c>
      <c r="L38" s="490">
        <v>200352.88</v>
      </c>
    </row>
    <row r="39" spans="1:12">
      <c r="B39" s="491" t="s">
        <v>1351</v>
      </c>
      <c r="C39" s="488">
        <v>511883.18</v>
      </c>
      <c r="D39" s="488">
        <v>715125.6</v>
      </c>
      <c r="E39" s="488">
        <v>71939.63</v>
      </c>
      <c r="F39" s="488">
        <v>535343.35999999999</v>
      </c>
      <c r="G39" s="489">
        <v>0.48</v>
      </c>
      <c r="H39" s="488">
        <v>179782.24</v>
      </c>
      <c r="I39" s="488">
        <v>102644.23</v>
      </c>
      <c r="J39" s="488">
        <v>487227.68</v>
      </c>
      <c r="K39" s="489">
        <v>0.45</v>
      </c>
      <c r="L39" s="490">
        <v>227897.92</v>
      </c>
    </row>
    <row r="40" spans="1:12">
      <c r="B40" s="491" t="s">
        <v>1329</v>
      </c>
      <c r="C40" s="488">
        <v>117654.01</v>
      </c>
      <c r="D40" s="488">
        <v>117654.01</v>
      </c>
      <c r="E40" s="488">
        <v>18813.580000000002</v>
      </c>
      <c r="F40" s="488">
        <v>98059.55</v>
      </c>
      <c r="G40" s="489">
        <v>0.09</v>
      </c>
      <c r="H40" s="488">
        <v>19594.46</v>
      </c>
      <c r="I40" s="488">
        <v>18813.580000000002</v>
      </c>
      <c r="J40" s="488">
        <v>98059.55</v>
      </c>
      <c r="K40" s="489">
        <v>0.09</v>
      </c>
      <c r="L40" s="490">
        <v>19594.46</v>
      </c>
    </row>
    <row r="41" spans="1:12">
      <c r="B41" s="491" t="s">
        <v>1341</v>
      </c>
      <c r="C41" s="488">
        <v>94305.95</v>
      </c>
      <c r="D41" s="488">
        <v>94305.95</v>
      </c>
      <c r="E41" s="488">
        <v>13472.1</v>
      </c>
      <c r="F41" s="488">
        <v>67061.119999999995</v>
      </c>
      <c r="G41" s="489">
        <v>0.06</v>
      </c>
      <c r="H41" s="488">
        <v>27244.83</v>
      </c>
      <c r="I41" s="488">
        <v>13472.1</v>
      </c>
      <c r="J41" s="488">
        <v>67061.119999999995</v>
      </c>
      <c r="K41" s="489">
        <v>0.06</v>
      </c>
      <c r="L41" s="490">
        <v>27244.83</v>
      </c>
    </row>
    <row r="42" spans="1:12">
      <c r="A42" s="727" t="s">
        <v>1352</v>
      </c>
      <c r="B42" s="728"/>
      <c r="C42" s="488">
        <v>26301030.899999999</v>
      </c>
      <c r="D42" s="488">
        <v>29143791.23</v>
      </c>
      <c r="E42" s="488">
        <v>5983013.4199999999</v>
      </c>
      <c r="F42" s="488">
        <v>24967833.010000002</v>
      </c>
      <c r="G42" s="489">
        <v>22.34</v>
      </c>
      <c r="H42" s="488">
        <v>4175958.22</v>
      </c>
      <c r="I42" s="488">
        <v>5013095.9400000004</v>
      </c>
      <c r="J42" s="488">
        <v>23873098.420000002</v>
      </c>
      <c r="K42" s="488">
        <v>22.24</v>
      </c>
      <c r="L42" s="490">
        <v>5270692.8099999996</v>
      </c>
    </row>
    <row r="43" spans="1:12">
      <c r="B43" s="491" t="s">
        <v>1353</v>
      </c>
      <c r="C43" s="488">
        <v>22825580.899999999</v>
      </c>
      <c r="D43" s="488">
        <v>22825580.899999999</v>
      </c>
      <c r="E43" s="488">
        <v>3741071.65</v>
      </c>
      <c r="F43" s="488">
        <v>18655063.460000001</v>
      </c>
      <c r="G43" s="489">
        <v>16.690000000000001</v>
      </c>
      <c r="H43" s="488">
        <v>4170517.44</v>
      </c>
      <c r="I43" s="488">
        <v>3732853.35</v>
      </c>
      <c r="J43" s="488">
        <v>18643681.760000002</v>
      </c>
      <c r="K43" s="489">
        <v>17.37</v>
      </c>
      <c r="L43" s="490">
        <v>4181899.14</v>
      </c>
    </row>
    <row r="44" spans="1:12">
      <c r="B44" s="491" t="s">
        <v>1354</v>
      </c>
      <c r="C44" s="488">
        <v>3475450</v>
      </c>
      <c r="D44" s="488">
        <v>6318210.3300000001</v>
      </c>
      <c r="E44" s="488">
        <v>2241941.77</v>
      </c>
      <c r="F44" s="488">
        <v>6312769.5499999998</v>
      </c>
      <c r="G44" s="489">
        <v>5.65</v>
      </c>
      <c r="H44" s="488">
        <v>5440.78</v>
      </c>
      <c r="I44" s="488">
        <v>1280242.5900000001</v>
      </c>
      <c r="J44" s="488">
        <v>5229416.66</v>
      </c>
      <c r="K44" s="489">
        <v>4.87</v>
      </c>
      <c r="L44" s="490">
        <v>1088793.67</v>
      </c>
    </row>
    <row r="45" spans="1:12">
      <c r="A45" s="727" t="s">
        <v>1355</v>
      </c>
      <c r="B45" s="728"/>
      <c r="C45" s="488">
        <v>22152216.010000002</v>
      </c>
      <c r="D45" s="488">
        <v>26726446.559999999</v>
      </c>
      <c r="E45" s="488">
        <v>3757720.02</v>
      </c>
      <c r="F45" s="488">
        <v>21528679.699999999</v>
      </c>
      <c r="G45" s="489">
        <v>19.260000000000002</v>
      </c>
      <c r="H45" s="488">
        <v>5197766.8600000003</v>
      </c>
      <c r="I45" s="488">
        <v>4089285.12</v>
      </c>
      <c r="J45" s="488">
        <v>20449768.809999999</v>
      </c>
      <c r="K45" s="488">
        <v>19.05</v>
      </c>
      <c r="L45" s="490">
        <v>6276677.75</v>
      </c>
    </row>
    <row r="46" spans="1:12">
      <c r="B46" s="491" t="s">
        <v>1333</v>
      </c>
      <c r="C46" s="488">
        <v>1181996.31</v>
      </c>
      <c r="D46" s="488">
        <v>1639485.73</v>
      </c>
      <c r="E46" s="488">
        <v>-97956.71</v>
      </c>
      <c r="F46" s="488">
        <v>957154.97</v>
      </c>
      <c r="G46" s="489">
        <v>0.86</v>
      </c>
      <c r="H46" s="488">
        <v>682330.76</v>
      </c>
      <c r="I46" s="488">
        <v>110588.77</v>
      </c>
      <c r="J46" s="488">
        <v>740859.52</v>
      </c>
      <c r="K46" s="489">
        <v>0.69</v>
      </c>
      <c r="L46" s="490">
        <v>898626.21</v>
      </c>
    </row>
    <row r="47" spans="1:12">
      <c r="B47" s="491" t="s">
        <v>1337</v>
      </c>
      <c r="C47" s="488">
        <v>100003</v>
      </c>
      <c r="D47" s="488">
        <v>70003</v>
      </c>
      <c r="E47" s="488">
        <v>0</v>
      </c>
      <c r="F47" s="488">
        <v>60668.61</v>
      </c>
      <c r="G47" s="489">
        <v>0.05</v>
      </c>
      <c r="H47" s="488">
        <v>9334.39</v>
      </c>
      <c r="I47" s="488">
        <v>0</v>
      </c>
      <c r="J47" s="488">
        <v>60668.61</v>
      </c>
      <c r="K47" s="489">
        <v>0.06</v>
      </c>
      <c r="L47" s="490">
        <v>9334.39</v>
      </c>
    </row>
    <row r="48" spans="1:12">
      <c r="B48" s="491" t="s">
        <v>1350</v>
      </c>
      <c r="C48" s="488">
        <v>196.52</v>
      </c>
      <c r="D48" s="488">
        <v>196.52</v>
      </c>
      <c r="E48" s="488">
        <v>0</v>
      </c>
      <c r="F48" s="488">
        <v>0</v>
      </c>
      <c r="G48" s="489">
        <v>0</v>
      </c>
      <c r="H48" s="488">
        <v>196.52</v>
      </c>
      <c r="I48" s="488">
        <v>0</v>
      </c>
      <c r="J48" s="488">
        <v>0</v>
      </c>
      <c r="K48" s="489">
        <v>0</v>
      </c>
      <c r="L48" s="490">
        <v>196.52</v>
      </c>
    </row>
    <row r="49" spans="1:12">
      <c r="B49" s="491" t="s">
        <v>1329</v>
      </c>
      <c r="C49" s="488">
        <v>288916.26</v>
      </c>
      <c r="D49" s="488">
        <v>319888.7</v>
      </c>
      <c r="E49" s="488">
        <v>49861.86</v>
      </c>
      <c r="F49" s="488">
        <v>239119.13</v>
      </c>
      <c r="G49" s="489">
        <v>0.21</v>
      </c>
      <c r="H49" s="488">
        <v>80769.570000000007</v>
      </c>
      <c r="I49" s="488">
        <v>49861.86</v>
      </c>
      <c r="J49" s="488">
        <v>239119.13</v>
      </c>
      <c r="K49" s="489">
        <v>0.22</v>
      </c>
      <c r="L49" s="490">
        <v>80769.570000000007</v>
      </c>
    </row>
    <row r="50" spans="1:12">
      <c r="B50" s="491" t="s">
        <v>1356</v>
      </c>
      <c r="C50" s="488">
        <v>7676180.4699999997</v>
      </c>
      <c r="D50" s="488">
        <v>9558611.5600000005</v>
      </c>
      <c r="E50" s="488">
        <v>1835729.06</v>
      </c>
      <c r="F50" s="488">
        <v>7519414.0599999996</v>
      </c>
      <c r="G50" s="489">
        <v>6.73</v>
      </c>
      <c r="H50" s="488">
        <v>2039197.5</v>
      </c>
      <c r="I50" s="488">
        <v>1663288.74</v>
      </c>
      <c r="J50" s="488">
        <v>7202411.75</v>
      </c>
      <c r="K50" s="489">
        <v>6.71</v>
      </c>
      <c r="L50" s="490">
        <v>2356199.81</v>
      </c>
    </row>
    <row r="51" spans="1:12">
      <c r="B51" s="491" t="s">
        <v>1354</v>
      </c>
      <c r="C51" s="488">
        <v>10006375.460000001</v>
      </c>
      <c r="D51" s="488">
        <v>10554347.060000001</v>
      </c>
      <c r="E51" s="488">
        <v>1456567.41</v>
      </c>
      <c r="F51" s="488">
        <v>9127016.5999999996</v>
      </c>
      <c r="G51" s="489">
        <v>8.17</v>
      </c>
      <c r="H51" s="488">
        <v>1427330.46</v>
      </c>
      <c r="I51" s="488">
        <v>1775097.13</v>
      </c>
      <c r="J51" s="488">
        <v>8784580.2599999998</v>
      </c>
      <c r="K51" s="489">
        <v>8.18</v>
      </c>
      <c r="L51" s="490">
        <v>1769766.8</v>
      </c>
    </row>
    <row r="52" spans="1:12">
      <c r="B52" s="491" t="s">
        <v>1357</v>
      </c>
      <c r="C52" s="488">
        <v>890617.47</v>
      </c>
      <c r="D52" s="488">
        <v>980617.47</v>
      </c>
      <c r="E52" s="488">
        <v>164842.79</v>
      </c>
      <c r="F52" s="488">
        <v>860056.11</v>
      </c>
      <c r="G52" s="489">
        <v>0.77</v>
      </c>
      <c r="H52" s="488">
        <v>120561.36</v>
      </c>
      <c r="I52" s="488">
        <v>140206.82</v>
      </c>
      <c r="J52" s="488">
        <v>766014.97</v>
      </c>
      <c r="K52" s="489">
        <v>0.71</v>
      </c>
      <c r="L52" s="490">
        <v>214602.5</v>
      </c>
    </row>
    <row r="53" spans="1:12">
      <c r="B53" s="491" t="s">
        <v>1358</v>
      </c>
      <c r="C53" s="488">
        <v>44010</v>
      </c>
      <c r="D53" s="488">
        <v>81010</v>
      </c>
      <c r="E53" s="488">
        <v>20334.900000000001</v>
      </c>
      <c r="F53" s="488">
        <v>29558.68</v>
      </c>
      <c r="G53" s="489">
        <v>0.03</v>
      </c>
      <c r="H53" s="488">
        <v>51451.32</v>
      </c>
      <c r="I53" s="488">
        <v>10179.9</v>
      </c>
      <c r="J53" s="488">
        <v>19403.68</v>
      </c>
      <c r="K53" s="489">
        <v>0.02</v>
      </c>
      <c r="L53" s="490">
        <v>61606.32</v>
      </c>
    </row>
    <row r="54" spans="1:12">
      <c r="B54" s="491" t="s">
        <v>1359</v>
      </c>
      <c r="C54" s="488">
        <v>1250196.8899999999</v>
      </c>
      <c r="D54" s="488">
        <v>2812562.89</v>
      </c>
      <c r="E54" s="488">
        <v>224438.89</v>
      </c>
      <c r="F54" s="488">
        <v>2203477.14</v>
      </c>
      <c r="G54" s="489">
        <v>1.97</v>
      </c>
      <c r="H54" s="488">
        <v>609085.75</v>
      </c>
      <c r="I54" s="488">
        <v>232154.36</v>
      </c>
      <c r="J54" s="488">
        <v>2108502.21</v>
      </c>
      <c r="K54" s="489">
        <v>1.96</v>
      </c>
      <c r="L54" s="490">
        <v>704060.68</v>
      </c>
    </row>
    <row r="55" spans="1:12">
      <c r="B55" s="491" t="s">
        <v>1341</v>
      </c>
      <c r="C55" s="488">
        <v>713723.63</v>
      </c>
      <c r="D55" s="488">
        <v>709723.63</v>
      </c>
      <c r="E55" s="488">
        <v>103901.82</v>
      </c>
      <c r="F55" s="488">
        <v>532214.4</v>
      </c>
      <c r="G55" s="489">
        <v>0.48</v>
      </c>
      <c r="H55" s="488">
        <v>177509.23</v>
      </c>
      <c r="I55" s="488">
        <v>107907.54</v>
      </c>
      <c r="J55" s="488">
        <v>528208.68000000005</v>
      </c>
      <c r="K55" s="489">
        <v>0.49</v>
      </c>
      <c r="L55" s="490">
        <v>181514.95</v>
      </c>
    </row>
    <row r="56" spans="1:12">
      <c r="A56" s="727" t="s">
        <v>1360</v>
      </c>
      <c r="B56" s="728"/>
      <c r="C56" s="488">
        <v>10000</v>
      </c>
      <c r="D56" s="488">
        <v>10000</v>
      </c>
      <c r="E56" s="488">
        <v>0</v>
      </c>
      <c r="F56" s="488">
        <v>0</v>
      </c>
      <c r="G56" s="489">
        <v>0</v>
      </c>
      <c r="H56" s="488">
        <v>10000</v>
      </c>
      <c r="I56" s="488">
        <v>0</v>
      </c>
      <c r="J56" s="488">
        <v>0</v>
      </c>
      <c r="K56" s="488">
        <v>0</v>
      </c>
      <c r="L56" s="490">
        <v>10000</v>
      </c>
    </row>
    <row r="57" spans="1:12">
      <c r="B57" s="491" t="s">
        <v>1341</v>
      </c>
      <c r="C57" s="488">
        <v>10000</v>
      </c>
      <c r="D57" s="488">
        <v>10000</v>
      </c>
      <c r="E57" s="488">
        <v>0</v>
      </c>
      <c r="F57" s="488">
        <v>0</v>
      </c>
      <c r="G57" s="489">
        <v>0</v>
      </c>
      <c r="H57" s="488">
        <v>10000</v>
      </c>
      <c r="I57" s="488">
        <v>0</v>
      </c>
      <c r="J57" s="488">
        <v>0</v>
      </c>
      <c r="K57" s="489">
        <v>0</v>
      </c>
      <c r="L57" s="490">
        <v>10000</v>
      </c>
    </row>
    <row r="58" spans="1:12">
      <c r="A58" s="727" t="s">
        <v>1361</v>
      </c>
      <c r="B58" s="728"/>
      <c r="C58" s="488">
        <v>28654315.129999999</v>
      </c>
      <c r="D58" s="488">
        <v>34222498.329999998</v>
      </c>
      <c r="E58" s="488">
        <v>4654303.29</v>
      </c>
      <c r="F58" s="488">
        <v>20758428.5</v>
      </c>
      <c r="G58" s="489">
        <v>18.57</v>
      </c>
      <c r="H58" s="488">
        <v>13464069.83</v>
      </c>
      <c r="I58" s="488">
        <v>4729349.58</v>
      </c>
      <c r="J58" s="488">
        <v>20449254.34</v>
      </c>
      <c r="K58" s="488">
        <v>19.05</v>
      </c>
      <c r="L58" s="490">
        <v>13773243.99</v>
      </c>
    </row>
    <row r="59" spans="1:12">
      <c r="B59" s="491" t="s">
        <v>1333</v>
      </c>
      <c r="C59" s="488">
        <v>1140045.03</v>
      </c>
      <c r="D59" s="488">
        <v>1190434.79</v>
      </c>
      <c r="E59" s="488">
        <v>147757.73000000001</v>
      </c>
      <c r="F59" s="488">
        <v>744371.44</v>
      </c>
      <c r="G59" s="489">
        <v>0.67</v>
      </c>
      <c r="H59" s="488">
        <v>446063.35</v>
      </c>
      <c r="I59" s="488">
        <v>152073.85</v>
      </c>
      <c r="J59" s="488">
        <v>743953.61</v>
      </c>
      <c r="K59" s="489">
        <v>0.69</v>
      </c>
      <c r="L59" s="490">
        <v>446481.18</v>
      </c>
    </row>
    <row r="60" spans="1:12">
      <c r="B60" s="491" t="s">
        <v>1329</v>
      </c>
      <c r="C60" s="488">
        <v>72840.78</v>
      </c>
      <c r="D60" s="488">
        <v>106179.54</v>
      </c>
      <c r="E60" s="488">
        <v>8714.67</v>
      </c>
      <c r="F60" s="488">
        <v>46112.14</v>
      </c>
      <c r="G60" s="489">
        <v>0.04</v>
      </c>
      <c r="H60" s="488">
        <v>60067.4</v>
      </c>
      <c r="I60" s="488">
        <v>8714.67</v>
      </c>
      <c r="J60" s="488">
        <v>46112.14</v>
      </c>
      <c r="K60" s="489">
        <v>0.04</v>
      </c>
      <c r="L60" s="490">
        <v>60067.4</v>
      </c>
    </row>
    <row r="61" spans="1:12">
      <c r="B61" s="491" t="s">
        <v>1341</v>
      </c>
      <c r="C61" s="488">
        <v>1440467.88</v>
      </c>
      <c r="D61" s="488">
        <v>1751387.28</v>
      </c>
      <c r="E61" s="488">
        <v>221541.2</v>
      </c>
      <c r="F61" s="488">
        <v>1119980.58</v>
      </c>
      <c r="G61" s="489">
        <v>1</v>
      </c>
      <c r="H61" s="488">
        <v>631406.69999999995</v>
      </c>
      <c r="I61" s="488">
        <v>221541.2</v>
      </c>
      <c r="J61" s="488">
        <v>1119980.58</v>
      </c>
      <c r="K61" s="489">
        <v>1.04</v>
      </c>
      <c r="L61" s="490">
        <v>631406.69999999995</v>
      </c>
    </row>
    <row r="62" spans="1:12">
      <c r="B62" s="491" t="s">
        <v>1362</v>
      </c>
      <c r="C62" s="488">
        <v>15421591.640000001</v>
      </c>
      <c r="D62" s="488">
        <v>18365290.41</v>
      </c>
      <c r="E62" s="488">
        <v>2216755.5699999998</v>
      </c>
      <c r="F62" s="488">
        <v>11002508.9</v>
      </c>
      <c r="G62" s="489">
        <v>9.84</v>
      </c>
      <c r="H62" s="488">
        <v>7362781.5099999998</v>
      </c>
      <c r="I62" s="488">
        <v>2296605.9900000002</v>
      </c>
      <c r="J62" s="488">
        <v>10828991.59</v>
      </c>
      <c r="K62" s="489">
        <v>10.09</v>
      </c>
      <c r="L62" s="490">
        <v>7536298.8200000003</v>
      </c>
    </row>
    <row r="63" spans="1:12">
      <c r="B63" s="491" t="s">
        <v>1363</v>
      </c>
      <c r="C63" s="488">
        <v>1300000</v>
      </c>
      <c r="D63" s="488">
        <v>1300000</v>
      </c>
      <c r="E63" s="488">
        <v>625997.69999999995</v>
      </c>
      <c r="F63" s="488">
        <v>761879.66</v>
      </c>
      <c r="G63" s="489">
        <v>0.68</v>
      </c>
      <c r="H63" s="488">
        <v>538120.34</v>
      </c>
      <c r="I63" s="488">
        <v>627187.86</v>
      </c>
      <c r="J63" s="488">
        <v>761879.66</v>
      </c>
      <c r="K63" s="489">
        <v>0.71</v>
      </c>
      <c r="L63" s="490">
        <v>538120.34</v>
      </c>
    </row>
    <row r="64" spans="1:12">
      <c r="B64" s="491" t="s">
        <v>1364</v>
      </c>
      <c r="C64" s="488">
        <v>80</v>
      </c>
      <c r="D64" s="488">
        <v>80</v>
      </c>
      <c r="E64" s="488">
        <v>0</v>
      </c>
      <c r="F64" s="488">
        <v>0</v>
      </c>
      <c r="G64" s="489">
        <v>0</v>
      </c>
      <c r="H64" s="488">
        <v>80</v>
      </c>
      <c r="I64" s="488">
        <v>0</v>
      </c>
      <c r="J64" s="488">
        <v>0</v>
      </c>
      <c r="K64" s="489">
        <v>0</v>
      </c>
      <c r="L64" s="490">
        <v>80</v>
      </c>
    </row>
    <row r="65" spans="1:12">
      <c r="B65" s="491" t="s">
        <v>1365</v>
      </c>
      <c r="C65" s="488">
        <v>7465686.5999999996</v>
      </c>
      <c r="D65" s="488">
        <v>9344489.9199999999</v>
      </c>
      <c r="E65" s="488">
        <v>1167451.52</v>
      </c>
      <c r="F65" s="488">
        <v>5651521.8799999999</v>
      </c>
      <c r="G65" s="489">
        <v>5.0599999999999996</v>
      </c>
      <c r="H65" s="488">
        <v>3692968.04</v>
      </c>
      <c r="I65" s="488">
        <v>1122486.33</v>
      </c>
      <c r="J65" s="488">
        <v>5550419.7300000004</v>
      </c>
      <c r="K65" s="489">
        <v>5.17</v>
      </c>
      <c r="L65" s="490">
        <v>3794070.19</v>
      </c>
    </row>
    <row r="66" spans="1:12">
      <c r="B66" s="491" t="s">
        <v>1366</v>
      </c>
      <c r="C66" s="488">
        <v>420974.36</v>
      </c>
      <c r="D66" s="488">
        <v>467074.55</v>
      </c>
      <c r="E66" s="488">
        <v>61168.5</v>
      </c>
      <c r="F66" s="488">
        <v>324838.71000000002</v>
      </c>
      <c r="G66" s="489">
        <v>0.28999999999999998</v>
      </c>
      <c r="H66" s="488">
        <v>142235.84</v>
      </c>
      <c r="I66" s="488">
        <v>61686.400000000001</v>
      </c>
      <c r="J66" s="488">
        <v>324838.71000000002</v>
      </c>
      <c r="K66" s="489">
        <v>0.3</v>
      </c>
      <c r="L66" s="490">
        <v>142235.84</v>
      </c>
    </row>
    <row r="67" spans="1:12">
      <c r="B67" s="491" t="s">
        <v>1367</v>
      </c>
      <c r="C67" s="488">
        <v>1392508.84</v>
      </c>
      <c r="D67" s="488">
        <v>1697441.84</v>
      </c>
      <c r="E67" s="488">
        <v>204916.4</v>
      </c>
      <c r="F67" s="488">
        <v>1107215.19</v>
      </c>
      <c r="G67" s="489">
        <v>0.99</v>
      </c>
      <c r="H67" s="488">
        <v>590226.65</v>
      </c>
      <c r="I67" s="488">
        <v>239053.28</v>
      </c>
      <c r="J67" s="488">
        <v>1073078.32</v>
      </c>
      <c r="K67" s="489">
        <v>1</v>
      </c>
      <c r="L67" s="490">
        <v>624363.52000000002</v>
      </c>
    </row>
    <row r="68" spans="1:12">
      <c r="B68" s="491" t="s">
        <v>1368</v>
      </c>
      <c r="C68" s="488">
        <v>120</v>
      </c>
      <c r="D68" s="488">
        <v>120</v>
      </c>
      <c r="E68" s="488">
        <v>0</v>
      </c>
      <c r="F68" s="488">
        <v>0</v>
      </c>
      <c r="G68" s="489">
        <v>0</v>
      </c>
      <c r="H68" s="488">
        <v>120</v>
      </c>
      <c r="I68" s="488">
        <v>0</v>
      </c>
      <c r="J68" s="488">
        <v>0</v>
      </c>
      <c r="K68" s="489">
        <v>0</v>
      </c>
      <c r="L68" s="490">
        <v>120</v>
      </c>
    </row>
    <row r="69" spans="1:12">
      <c r="A69" s="727" t="s">
        <v>1369</v>
      </c>
      <c r="B69" s="728"/>
      <c r="C69" s="488">
        <v>261033.78</v>
      </c>
      <c r="D69" s="488">
        <v>337263.13</v>
      </c>
      <c r="E69" s="488">
        <v>118877.9</v>
      </c>
      <c r="F69" s="488">
        <v>212503.42</v>
      </c>
      <c r="G69" s="489">
        <v>0.19</v>
      </c>
      <c r="H69" s="488">
        <v>124759.71</v>
      </c>
      <c r="I69" s="488">
        <v>115140.06</v>
      </c>
      <c r="J69" s="488">
        <v>164031.28</v>
      </c>
      <c r="K69" s="488">
        <v>0.15</v>
      </c>
      <c r="L69" s="490">
        <v>173231.85</v>
      </c>
    </row>
    <row r="70" spans="1:12">
      <c r="B70" s="491" t="s">
        <v>1370</v>
      </c>
      <c r="C70" s="488">
        <v>13906.55</v>
      </c>
      <c r="D70" s="488">
        <v>13691.45</v>
      </c>
      <c r="E70" s="488">
        <v>936.05</v>
      </c>
      <c r="F70" s="488">
        <v>936.05</v>
      </c>
      <c r="G70" s="489">
        <v>0</v>
      </c>
      <c r="H70" s="488">
        <v>12755.4</v>
      </c>
      <c r="I70" s="488">
        <v>360.45</v>
      </c>
      <c r="J70" s="488">
        <v>360.45</v>
      </c>
      <c r="K70" s="489">
        <v>0</v>
      </c>
      <c r="L70" s="490">
        <v>13331</v>
      </c>
    </row>
    <row r="71" spans="1:12">
      <c r="B71" s="491" t="s">
        <v>1371</v>
      </c>
      <c r="C71" s="488">
        <v>247127.23</v>
      </c>
      <c r="D71" s="488">
        <v>323571.68</v>
      </c>
      <c r="E71" s="488">
        <v>117941.85</v>
      </c>
      <c r="F71" s="488">
        <v>211567.37</v>
      </c>
      <c r="G71" s="489">
        <v>0.19</v>
      </c>
      <c r="H71" s="488">
        <v>112004.31</v>
      </c>
      <c r="I71" s="488">
        <v>114779.61</v>
      </c>
      <c r="J71" s="488">
        <v>163670.82999999999</v>
      </c>
      <c r="K71" s="489">
        <v>0.15</v>
      </c>
      <c r="L71" s="490">
        <v>159900.85</v>
      </c>
    </row>
    <row r="72" spans="1:12">
      <c r="A72" s="727" t="s">
        <v>1372</v>
      </c>
      <c r="B72" s="728"/>
      <c r="C72" s="488">
        <v>2000</v>
      </c>
      <c r="D72" s="488">
        <v>2379</v>
      </c>
      <c r="E72" s="488">
        <v>0</v>
      </c>
      <c r="F72" s="488">
        <v>2217.62</v>
      </c>
      <c r="G72" s="489">
        <v>0</v>
      </c>
      <c r="H72" s="488">
        <v>161.38</v>
      </c>
      <c r="I72" s="488">
        <v>210</v>
      </c>
      <c r="J72" s="488">
        <v>1937.62</v>
      </c>
      <c r="K72" s="488">
        <v>0</v>
      </c>
      <c r="L72" s="490">
        <v>441.38</v>
      </c>
    </row>
    <row r="73" spans="1:12">
      <c r="B73" s="491" t="s">
        <v>1333</v>
      </c>
      <c r="C73" s="488">
        <v>1000</v>
      </c>
      <c r="D73" s="488">
        <v>504</v>
      </c>
      <c r="E73" s="488">
        <v>0</v>
      </c>
      <c r="F73" s="488">
        <v>407.62</v>
      </c>
      <c r="G73" s="489">
        <v>0</v>
      </c>
      <c r="H73" s="488">
        <v>96.38</v>
      </c>
      <c r="I73" s="488">
        <v>0</v>
      </c>
      <c r="J73" s="488">
        <v>407.62</v>
      </c>
      <c r="K73" s="489">
        <v>0</v>
      </c>
      <c r="L73" s="490">
        <v>96.38</v>
      </c>
    </row>
    <row r="74" spans="1:12">
      <c r="B74" s="491" t="s">
        <v>1373</v>
      </c>
      <c r="C74" s="488">
        <v>1000</v>
      </c>
      <c r="D74" s="488">
        <v>1875</v>
      </c>
      <c r="E74" s="488">
        <v>0</v>
      </c>
      <c r="F74" s="488">
        <v>1810</v>
      </c>
      <c r="G74" s="489">
        <v>0</v>
      </c>
      <c r="H74" s="488">
        <v>65</v>
      </c>
      <c r="I74" s="488">
        <v>210</v>
      </c>
      <c r="J74" s="488">
        <v>1530</v>
      </c>
      <c r="K74" s="489">
        <v>0</v>
      </c>
      <c r="L74" s="490">
        <v>345</v>
      </c>
    </row>
    <row r="75" spans="1:12">
      <c r="A75" s="727" t="s">
        <v>1374</v>
      </c>
      <c r="B75" s="728"/>
      <c r="C75" s="488">
        <v>4947529.43</v>
      </c>
      <c r="D75" s="488">
        <v>5068947.38</v>
      </c>
      <c r="E75" s="488">
        <v>460220.93</v>
      </c>
      <c r="F75" s="488">
        <v>3508685.43</v>
      </c>
      <c r="G75" s="489">
        <v>3.14</v>
      </c>
      <c r="H75" s="488">
        <v>1560261.95</v>
      </c>
      <c r="I75" s="488">
        <v>534620.9</v>
      </c>
      <c r="J75" s="488">
        <v>2973959.79</v>
      </c>
      <c r="K75" s="488">
        <v>2.77</v>
      </c>
      <c r="L75" s="490">
        <v>2094987.59</v>
      </c>
    </row>
    <row r="76" spans="1:12">
      <c r="B76" s="491" t="s">
        <v>1375</v>
      </c>
      <c r="C76" s="488">
        <v>3119378.43</v>
      </c>
      <c r="D76" s="488">
        <v>3239807.63</v>
      </c>
      <c r="E76" s="488">
        <v>285108.11</v>
      </c>
      <c r="F76" s="488">
        <v>1731541.11</v>
      </c>
      <c r="G76" s="489">
        <v>1.55</v>
      </c>
      <c r="H76" s="488">
        <v>1508266.52</v>
      </c>
      <c r="I76" s="488">
        <v>178227.79</v>
      </c>
      <c r="J76" s="488">
        <v>1385081.87</v>
      </c>
      <c r="K76" s="489">
        <v>1.29</v>
      </c>
      <c r="L76" s="490">
        <v>1854725.76</v>
      </c>
    </row>
    <row r="77" spans="1:12">
      <c r="B77" s="491" t="s">
        <v>1346</v>
      </c>
      <c r="C77" s="488">
        <v>1828151</v>
      </c>
      <c r="D77" s="488">
        <v>1829139.75</v>
      </c>
      <c r="E77" s="488">
        <v>175112.82</v>
      </c>
      <c r="F77" s="488">
        <v>1777144.32</v>
      </c>
      <c r="G77" s="489">
        <v>1.59</v>
      </c>
      <c r="H77" s="488">
        <v>51995.43</v>
      </c>
      <c r="I77" s="488">
        <v>356393.11</v>
      </c>
      <c r="J77" s="488">
        <v>1588877.92</v>
      </c>
      <c r="K77" s="489">
        <v>1.48</v>
      </c>
      <c r="L77" s="490">
        <v>240261.83</v>
      </c>
    </row>
    <row r="78" spans="1:12">
      <c r="A78" s="727" t="s">
        <v>1376</v>
      </c>
      <c r="B78" s="728"/>
      <c r="C78" s="488">
        <v>272672.09000000003</v>
      </c>
      <c r="D78" s="488">
        <v>497797.42</v>
      </c>
      <c r="E78" s="488">
        <v>0</v>
      </c>
      <c r="F78" s="488">
        <v>178673.08</v>
      </c>
      <c r="G78" s="489">
        <v>0.16</v>
      </c>
      <c r="H78" s="488">
        <v>319124.34000000003</v>
      </c>
      <c r="I78" s="488">
        <v>0</v>
      </c>
      <c r="J78" s="488">
        <v>178673.08</v>
      </c>
      <c r="K78" s="488">
        <v>0.17</v>
      </c>
      <c r="L78" s="490">
        <v>319124.34000000003</v>
      </c>
    </row>
    <row r="79" spans="1:12">
      <c r="B79" s="491" t="s">
        <v>1351</v>
      </c>
      <c r="C79" s="488">
        <v>4000</v>
      </c>
      <c r="D79" s="488">
        <v>4000</v>
      </c>
      <c r="E79" s="488">
        <v>0</v>
      </c>
      <c r="F79" s="488">
        <v>0</v>
      </c>
      <c r="G79" s="489">
        <v>0</v>
      </c>
      <c r="H79" s="488">
        <v>4000</v>
      </c>
      <c r="I79" s="488">
        <v>0</v>
      </c>
      <c r="J79" s="488">
        <v>0</v>
      </c>
      <c r="K79" s="489">
        <v>0</v>
      </c>
      <c r="L79" s="490">
        <v>4000</v>
      </c>
    </row>
    <row r="80" spans="1:12">
      <c r="B80" s="491" t="s">
        <v>1377</v>
      </c>
      <c r="C80" s="488">
        <v>268672.09000000003</v>
      </c>
      <c r="D80" s="488">
        <v>493797.42</v>
      </c>
      <c r="E80" s="488">
        <v>0</v>
      </c>
      <c r="F80" s="488">
        <v>178673.08</v>
      </c>
      <c r="G80" s="489">
        <v>0.16</v>
      </c>
      <c r="H80" s="488">
        <v>315124.34000000003</v>
      </c>
      <c r="I80" s="488">
        <v>0</v>
      </c>
      <c r="J80" s="488">
        <v>178673.08</v>
      </c>
      <c r="K80" s="489">
        <v>0.17</v>
      </c>
      <c r="L80" s="490">
        <v>315124.34000000003</v>
      </c>
    </row>
    <row r="81" spans="1:12">
      <c r="A81" s="727" t="s">
        <v>1378</v>
      </c>
      <c r="B81" s="728"/>
      <c r="C81" s="488">
        <v>110876</v>
      </c>
      <c r="D81" s="488">
        <v>489524.61</v>
      </c>
      <c r="E81" s="488">
        <v>0</v>
      </c>
      <c r="F81" s="488">
        <v>454222.31</v>
      </c>
      <c r="G81" s="489">
        <v>0.41</v>
      </c>
      <c r="H81" s="488">
        <v>35302.300000000003</v>
      </c>
      <c r="I81" s="488">
        <v>9560</v>
      </c>
      <c r="J81" s="488">
        <v>433305.91</v>
      </c>
      <c r="K81" s="488">
        <v>0.4</v>
      </c>
      <c r="L81" s="490">
        <v>56218.7</v>
      </c>
    </row>
    <row r="82" spans="1:12">
      <c r="B82" s="491" t="s">
        <v>1379</v>
      </c>
      <c r="C82" s="488">
        <v>30329.8</v>
      </c>
      <c r="D82" s="488">
        <v>30329.8</v>
      </c>
      <c r="E82" s="488">
        <v>0</v>
      </c>
      <c r="F82" s="488">
        <v>0</v>
      </c>
      <c r="G82" s="489">
        <v>0</v>
      </c>
      <c r="H82" s="488">
        <v>30329.8</v>
      </c>
      <c r="I82" s="488">
        <v>0</v>
      </c>
      <c r="J82" s="488">
        <v>0</v>
      </c>
      <c r="K82" s="489">
        <v>0</v>
      </c>
      <c r="L82" s="490">
        <v>30329.8</v>
      </c>
    </row>
    <row r="83" spans="1:12">
      <c r="B83" s="491" t="s">
        <v>1380</v>
      </c>
      <c r="C83" s="488">
        <v>80546.2</v>
      </c>
      <c r="D83" s="488">
        <v>459194.81</v>
      </c>
      <c r="E83" s="488">
        <v>0</v>
      </c>
      <c r="F83" s="488">
        <v>454222.31</v>
      </c>
      <c r="G83" s="489">
        <v>0.41</v>
      </c>
      <c r="H83" s="488">
        <v>4972.5</v>
      </c>
      <c r="I83" s="488">
        <v>9560</v>
      </c>
      <c r="J83" s="488">
        <v>433305.91</v>
      </c>
      <c r="K83" s="489">
        <v>0.4</v>
      </c>
      <c r="L83" s="490">
        <v>25888.9</v>
      </c>
    </row>
    <row r="84" spans="1:12">
      <c r="A84" s="727" t="s">
        <v>1381</v>
      </c>
      <c r="B84" s="728"/>
      <c r="C84" s="488">
        <v>111000</v>
      </c>
      <c r="D84" s="488">
        <v>60300</v>
      </c>
      <c r="E84" s="488">
        <v>0</v>
      </c>
      <c r="F84" s="488">
        <v>49165.65</v>
      </c>
      <c r="G84" s="489">
        <v>0.04</v>
      </c>
      <c r="H84" s="488">
        <v>11134.35</v>
      </c>
      <c r="I84" s="488">
        <v>7881.41</v>
      </c>
      <c r="J84" s="488">
        <v>41755.519999999997</v>
      </c>
      <c r="K84" s="488">
        <v>0.04</v>
      </c>
      <c r="L84" s="490">
        <v>18544.48</v>
      </c>
    </row>
    <row r="85" spans="1:12">
      <c r="B85" s="491" t="s">
        <v>1368</v>
      </c>
      <c r="C85" s="488">
        <v>9500</v>
      </c>
      <c r="D85" s="488">
        <v>1502</v>
      </c>
      <c r="E85" s="488">
        <v>0</v>
      </c>
      <c r="F85" s="488">
        <v>0</v>
      </c>
      <c r="G85" s="489">
        <v>0</v>
      </c>
      <c r="H85" s="488">
        <v>1502</v>
      </c>
      <c r="I85" s="488">
        <v>0</v>
      </c>
      <c r="J85" s="488">
        <v>0</v>
      </c>
      <c r="K85" s="489">
        <v>0</v>
      </c>
      <c r="L85" s="490">
        <v>1502</v>
      </c>
    </row>
    <row r="86" spans="1:12">
      <c r="B86" s="491" t="s">
        <v>1382</v>
      </c>
      <c r="C86" s="488">
        <v>46500</v>
      </c>
      <c r="D86" s="488">
        <v>3798</v>
      </c>
      <c r="E86" s="488">
        <v>0</v>
      </c>
      <c r="F86" s="488">
        <v>3481.9</v>
      </c>
      <c r="G86" s="489">
        <v>0</v>
      </c>
      <c r="H86" s="488">
        <v>316.10000000000002</v>
      </c>
      <c r="I86" s="488">
        <v>0</v>
      </c>
      <c r="J86" s="488">
        <v>2999.6</v>
      </c>
      <c r="K86" s="489">
        <v>0</v>
      </c>
      <c r="L86" s="490">
        <v>798.4</v>
      </c>
    </row>
    <row r="87" spans="1:12">
      <c r="B87" s="491" t="s">
        <v>1383</v>
      </c>
      <c r="C87" s="488">
        <v>55000</v>
      </c>
      <c r="D87" s="488">
        <v>55000</v>
      </c>
      <c r="E87" s="488">
        <v>0</v>
      </c>
      <c r="F87" s="488">
        <v>45683.75</v>
      </c>
      <c r="G87" s="489">
        <v>0.04</v>
      </c>
      <c r="H87" s="488">
        <v>9316.25</v>
      </c>
      <c r="I87" s="488">
        <v>7881.41</v>
      </c>
      <c r="J87" s="488">
        <v>38755.919999999998</v>
      </c>
      <c r="K87" s="489">
        <v>0.04</v>
      </c>
      <c r="L87" s="490">
        <v>16244.08</v>
      </c>
    </row>
    <row r="88" spans="1:12">
      <c r="A88" s="727" t="s">
        <v>1384</v>
      </c>
      <c r="B88" s="728"/>
      <c r="C88" s="488">
        <v>417795.95</v>
      </c>
      <c r="D88" s="488">
        <v>884436.3</v>
      </c>
      <c r="E88" s="488">
        <v>60816.66</v>
      </c>
      <c r="F88" s="488">
        <v>352543.07</v>
      </c>
      <c r="G88" s="489">
        <v>0.32</v>
      </c>
      <c r="H88" s="488">
        <v>531893.23</v>
      </c>
      <c r="I88" s="488">
        <v>61631.58</v>
      </c>
      <c r="J88" s="488">
        <v>197758.17</v>
      </c>
      <c r="K88" s="488">
        <v>0.18</v>
      </c>
      <c r="L88" s="490">
        <v>686678.13</v>
      </c>
    </row>
    <row r="89" spans="1:12">
      <c r="B89" s="491" t="s">
        <v>1333</v>
      </c>
      <c r="C89" s="488">
        <v>62930.95</v>
      </c>
      <c r="D89" s="488">
        <v>572004.73</v>
      </c>
      <c r="E89" s="488">
        <v>8432.18</v>
      </c>
      <c r="F89" s="488">
        <v>84517.19</v>
      </c>
      <c r="G89" s="489">
        <v>0.08</v>
      </c>
      <c r="H89" s="488">
        <v>487487.54</v>
      </c>
      <c r="I89" s="488">
        <v>8432.18</v>
      </c>
      <c r="J89" s="488">
        <v>8432.18</v>
      </c>
      <c r="K89" s="489">
        <v>0.01</v>
      </c>
      <c r="L89" s="490">
        <v>563572.55000000005</v>
      </c>
    </row>
    <row r="90" spans="1:12">
      <c r="B90" s="491" t="s">
        <v>1383</v>
      </c>
      <c r="C90" s="488">
        <v>48350</v>
      </c>
      <c r="D90" s="488">
        <v>45350</v>
      </c>
      <c r="E90" s="488">
        <v>449.93</v>
      </c>
      <c r="F90" s="488">
        <v>21007.93</v>
      </c>
      <c r="G90" s="489">
        <v>0.02</v>
      </c>
      <c r="H90" s="488">
        <v>24342.07</v>
      </c>
      <c r="I90" s="488">
        <v>699.93</v>
      </c>
      <c r="J90" s="488">
        <v>21007.93</v>
      </c>
      <c r="K90" s="489">
        <v>0.02</v>
      </c>
      <c r="L90" s="490">
        <v>24342.07</v>
      </c>
    </row>
    <row r="91" spans="1:12">
      <c r="B91" s="491" t="s">
        <v>1385</v>
      </c>
      <c r="C91" s="488">
        <v>229002</v>
      </c>
      <c r="D91" s="488">
        <v>197542</v>
      </c>
      <c r="E91" s="488">
        <v>390</v>
      </c>
      <c r="F91" s="488">
        <v>193744.4</v>
      </c>
      <c r="G91" s="489">
        <v>0.17</v>
      </c>
      <c r="H91" s="488">
        <v>3797.6</v>
      </c>
      <c r="I91" s="488">
        <v>954.92</v>
      </c>
      <c r="J91" s="488">
        <v>115044.51</v>
      </c>
      <c r="K91" s="489">
        <v>0.11</v>
      </c>
      <c r="L91" s="490">
        <v>82497.490000000005</v>
      </c>
    </row>
    <row r="92" spans="1:12">
      <c r="B92" s="491" t="s">
        <v>1386</v>
      </c>
      <c r="C92" s="488">
        <v>70513</v>
      </c>
      <c r="D92" s="488">
        <v>67539.570000000007</v>
      </c>
      <c r="E92" s="488">
        <v>51544.55</v>
      </c>
      <c r="F92" s="488">
        <v>51544.55</v>
      </c>
      <c r="G92" s="489">
        <v>0.05</v>
      </c>
      <c r="H92" s="488">
        <v>15995.02</v>
      </c>
      <c r="I92" s="488">
        <v>51544.55</v>
      </c>
      <c r="J92" s="488">
        <v>51544.55</v>
      </c>
      <c r="K92" s="489">
        <v>0.05</v>
      </c>
      <c r="L92" s="490">
        <v>15995.02</v>
      </c>
    </row>
    <row r="93" spans="1:12">
      <c r="B93" s="491" t="s">
        <v>1387</v>
      </c>
      <c r="C93" s="488">
        <v>7000</v>
      </c>
      <c r="D93" s="488">
        <v>2000</v>
      </c>
      <c r="E93" s="488">
        <v>0</v>
      </c>
      <c r="F93" s="488">
        <v>1729</v>
      </c>
      <c r="G93" s="489">
        <v>0</v>
      </c>
      <c r="H93" s="488">
        <v>271</v>
      </c>
      <c r="I93" s="488">
        <v>0</v>
      </c>
      <c r="J93" s="488">
        <v>1729</v>
      </c>
      <c r="K93" s="489">
        <v>0</v>
      </c>
      <c r="L93" s="490">
        <v>271</v>
      </c>
    </row>
    <row r="94" spans="1:12">
      <c r="A94" s="727" t="s">
        <v>1388</v>
      </c>
      <c r="B94" s="728"/>
      <c r="C94" s="488">
        <v>6001</v>
      </c>
      <c r="D94" s="488">
        <v>11</v>
      </c>
      <c r="E94" s="488">
        <v>0</v>
      </c>
      <c r="F94" s="488">
        <v>0</v>
      </c>
      <c r="G94" s="489">
        <v>0</v>
      </c>
      <c r="H94" s="488">
        <v>11</v>
      </c>
      <c r="I94" s="488">
        <v>0</v>
      </c>
      <c r="J94" s="488">
        <v>0</v>
      </c>
      <c r="K94" s="488">
        <v>0</v>
      </c>
      <c r="L94" s="490">
        <v>11</v>
      </c>
    </row>
    <row r="95" spans="1:12">
      <c r="B95" s="491" t="s">
        <v>1389</v>
      </c>
      <c r="C95" s="488">
        <v>6001</v>
      </c>
      <c r="D95" s="488">
        <v>11</v>
      </c>
      <c r="E95" s="488">
        <v>0</v>
      </c>
      <c r="F95" s="488">
        <v>0</v>
      </c>
      <c r="G95" s="489">
        <v>0</v>
      </c>
      <c r="H95" s="488">
        <v>11</v>
      </c>
      <c r="I95" s="488">
        <v>0</v>
      </c>
      <c r="J95" s="488">
        <v>0</v>
      </c>
      <c r="K95" s="489">
        <v>0</v>
      </c>
      <c r="L95" s="490">
        <v>11</v>
      </c>
    </row>
    <row r="96" spans="1:12">
      <c r="A96" s="727" t="s">
        <v>1390</v>
      </c>
      <c r="B96" s="728"/>
      <c r="C96" s="488">
        <v>73007</v>
      </c>
      <c r="D96" s="488">
        <v>108007</v>
      </c>
      <c r="E96" s="488">
        <v>57350</v>
      </c>
      <c r="F96" s="488">
        <v>86293.95</v>
      </c>
      <c r="G96" s="489">
        <v>0.08</v>
      </c>
      <c r="H96" s="488">
        <v>21713.05</v>
      </c>
      <c r="I96" s="488">
        <v>61675.85</v>
      </c>
      <c r="J96" s="488">
        <v>81513.710000000006</v>
      </c>
      <c r="K96" s="488">
        <v>0.08</v>
      </c>
      <c r="L96" s="490">
        <v>26493.29</v>
      </c>
    </row>
    <row r="97" spans="1:12">
      <c r="B97" s="491" t="s">
        <v>1391</v>
      </c>
      <c r="C97" s="488">
        <v>73000</v>
      </c>
      <c r="D97" s="488">
        <v>108000</v>
      </c>
      <c r="E97" s="488">
        <v>57350</v>
      </c>
      <c r="F97" s="488">
        <v>86293.95</v>
      </c>
      <c r="G97" s="489">
        <v>0.08</v>
      </c>
      <c r="H97" s="488">
        <v>21706.05</v>
      </c>
      <c r="I97" s="488">
        <v>61675.85</v>
      </c>
      <c r="J97" s="488">
        <v>81513.710000000006</v>
      </c>
      <c r="K97" s="489">
        <v>0.08</v>
      </c>
      <c r="L97" s="490">
        <v>26486.29</v>
      </c>
    </row>
    <row r="98" spans="1:12">
      <c r="B98" s="491" t="s">
        <v>1342</v>
      </c>
      <c r="C98" s="488">
        <v>7</v>
      </c>
      <c r="D98" s="488">
        <v>7</v>
      </c>
      <c r="E98" s="488">
        <v>0</v>
      </c>
      <c r="F98" s="488">
        <v>0</v>
      </c>
      <c r="G98" s="489">
        <v>0</v>
      </c>
      <c r="H98" s="488">
        <v>7</v>
      </c>
      <c r="I98" s="488">
        <v>0</v>
      </c>
      <c r="J98" s="488">
        <v>0</v>
      </c>
      <c r="K98" s="489">
        <v>0</v>
      </c>
      <c r="L98" s="490">
        <v>7</v>
      </c>
    </row>
    <row r="99" spans="1:12">
      <c r="A99" s="727" t="s">
        <v>1392</v>
      </c>
      <c r="B99" s="728"/>
      <c r="C99" s="488">
        <v>35000</v>
      </c>
      <c r="D99" s="488">
        <v>44000</v>
      </c>
      <c r="E99" s="488">
        <v>0</v>
      </c>
      <c r="F99" s="488">
        <v>30373.11</v>
      </c>
      <c r="G99" s="489">
        <v>0.03</v>
      </c>
      <c r="H99" s="488">
        <v>13626.89</v>
      </c>
      <c r="I99" s="488">
        <v>3990.73</v>
      </c>
      <c r="J99" s="488">
        <v>24015.02</v>
      </c>
      <c r="K99" s="488">
        <v>0.02</v>
      </c>
      <c r="L99" s="490">
        <v>19984.98</v>
      </c>
    </row>
    <row r="100" spans="1:12">
      <c r="B100" s="491" t="s">
        <v>1393</v>
      </c>
      <c r="C100" s="488">
        <v>35000</v>
      </c>
      <c r="D100" s="488">
        <v>44000</v>
      </c>
      <c r="E100" s="488">
        <v>0</v>
      </c>
      <c r="F100" s="488">
        <v>30373.11</v>
      </c>
      <c r="G100" s="489">
        <v>0.03</v>
      </c>
      <c r="H100" s="488">
        <v>13626.89</v>
      </c>
      <c r="I100" s="488">
        <v>3990.73</v>
      </c>
      <c r="J100" s="488">
        <v>24015.02</v>
      </c>
      <c r="K100" s="489">
        <v>0.02</v>
      </c>
      <c r="L100" s="490">
        <v>19984.98</v>
      </c>
    </row>
    <row r="101" spans="1:12">
      <c r="A101" s="727" t="s">
        <v>1394</v>
      </c>
      <c r="B101" s="728"/>
      <c r="C101" s="488">
        <v>262643.38</v>
      </c>
      <c r="D101" s="488">
        <v>672611.38</v>
      </c>
      <c r="E101" s="488">
        <v>52222</v>
      </c>
      <c r="F101" s="488">
        <v>669291.75</v>
      </c>
      <c r="G101" s="489">
        <v>0.6</v>
      </c>
      <c r="H101" s="488">
        <v>3319.63</v>
      </c>
      <c r="I101" s="488">
        <v>87832</v>
      </c>
      <c r="J101" s="488">
        <v>644312.75</v>
      </c>
      <c r="K101" s="488">
        <v>0.6</v>
      </c>
      <c r="L101" s="490">
        <v>28298.63</v>
      </c>
    </row>
    <row r="102" spans="1:12">
      <c r="B102" s="491" t="s">
        <v>1395</v>
      </c>
      <c r="C102" s="488">
        <v>262643.38</v>
      </c>
      <c r="D102" s="488">
        <v>672611.38</v>
      </c>
      <c r="E102" s="488">
        <v>52222</v>
      </c>
      <c r="F102" s="488">
        <v>669291.75</v>
      </c>
      <c r="G102" s="489">
        <v>0.6</v>
      </c>
      <c r="H102" s="488">
        <v>3319.63</v>
      </c>
      <c r="I102" s="488">
        <v>87832</v>
      </c>
      <c r="J102" s="488">
        <v>644312.75</v>
      </c>
      <c r="K102" s="489">
        <v>0.6</v>
      </c>
      <c r="L102" s="490">
        <v>28298.63</v>
      </c>
    </row>
    <row r="103" spans="1:12">
      <c r="A103" s="727" t="s">
        <v>1396</v>
      </c>
      <c r="B103" s="728"/>
      <c r="C103" s="488">
        <v>354595.83</v>
      </c>
      <c r="D103" s="488">
        <v>348775.15</v>
      </c>
      <c r="E103" s="488">
        <v>1754.9</v>
      </c>
      <c r="F103" s="488">
        <v>78681.73</v>
      </c>
      <c r="G103" s="489">
        <v>7.0000000000000007E-2</v>
      </c>
      <c r="H103" s="488">
        <v>270093.42</v>
      </c>
      <c r="I103" s="488">
        <v>16199.39</v>
      </c>
      <c r="J103" s="488">
        <v>50283.35</v>
      </c>
      <c r="K103" s="488">
        <v>0.05</v>
      </c>
      <c r="L103" s="490">
        <v>298491.8</v>
      </c>
    </row>
    <row r="104" spans="1:12">
      <c r="B104" s="491" t="s">
        <v>1397</v>
      </c>
      <c r="C104" s="488">
        <v>354595.83</v>
      </c>
      <c r="D104" s="488">
        <v>348775.15</v>
      </c>
      <c r="E104" s="488">
        <v>1754.9</v>
      </c>
      <c r="F104" s="488">
        <v>78681.73</v>
      </c>
      <c r="G104" s="489">
        <v>7.0000000000000007E-2</v>
      </c>
      <c r="H104" s="488">
        <v>270093.42</v>
      </c>
      <c r="I104" s="488">
        <v>16199.39</v>
      </c>
      <c r="J104" s="488">
        <v>50283.35</v>
      </c>
      <c r="K104" s="489">
        <v>0.05</v>
      </c>
      <c r="L104" s="490">
        <v>298491.8</v>
      </c>
    </row>
    <row r="105" spans="1:12">
      <c r="A105" s="727" t="s">
        <v>1398</v>
      </c>
      <c r="B105" s="728"/>
      <c r="C105" s="488">
        <v>948998</v>
      </c>
      <c r="D105" s="488">
        <v>971998</v>
      </c>
      <c r="E105" s="488">
        <v>7805.43</v>
      </c>
      <c r="F105" s="488">
        <v>951249.83</v>
      </c>
      <c r="G105" s="489">
        <v>0.85</v>
      </c>
      <c r="H105" s="488">
        <v>20748.169999999998</v>
      </c>
      <c r="I105" s="488">
        <v>187402.61</v>
      </c>
      <c r="J105" s="488">
        <v>755322.15</v>
      </c>
      <c r="K105" s="488">
        <v>0.7</v>
      </c>
      <c r="L105" s="490">
        <v>216675.85</v>
      </c>
    </row>
    <row r="106" spans="1:12">
      <c r="B106" s="491" t="s">
        <v>1399</v>
      </c>
      <c r="C106" s="488">
        <v>948998</v>
      </c>
      <c r="D106" s="488">
        <v>971998</v>
      </c>
      <c r="E106" s="488">
        <v>7805.43</v>
      </c>
      <c r="F106" s="488">
        <v>951249.83</v>
      </c>
      <c r="G106" s="489">
        <v>0.85</v>
      </c>
      <c r="H106" s="488">
        <v>20748.169999999998</v>
      </c>
      <c r="I106" s="488">
        <v>187402.61</v>
      </c>
      <c r="J106" s="488">
        <v>755322.15</v>
      </c>
      <c r="K106" s="489">
        <v>0.7</v>
      </c>
      <c r="L106" s="490">
        <v>216675.85</v>
      </c>
    </row>
    <row r="107" spans="1:12">
      <c r="A107" s="727" t="s">
        <v>1400</v>
      </c>
      <c r="B107" s="728"/>
      <c r="C107" s="488">
        <v>1313770.51</v>
      </c>
      <c r="D107" s="488">
        <v>8984.18</v>
      </c>
      <c r="E107" s="488">
        <v>0</v>
      </c>
      <c r="F107" s="488">
        <v>0</v>
      </c>
      <c r="G107" s="489">
        <v>0</v>
      </c>
      <c r="H107" s="488">
        <v>8984.18</v>
      </c>
      <c r="I107" s="488">
        <v>0</v>
      </c>
      <c r="J107" s="488">
        <v>0</v>
      </c>
      <c r="K107" s="488">
        <v>0</v>
      </c>
      <c r="L107" s="490">
        <v>8984.18</v>
      </c>
    </row>
    <row r="108" spans="1:12">
      <c r="B108" s="491" t="s">
        <v>1400</v>
      </c>
      <c r="C108" s="488">
        <v>1313770.51</v>
      </c>
      <c r="D108" s="488">
        <v>8984.18</v>
      </c>
      <c r="E108" s="488">
        <v>0</v>
      </c>
      <c r="F108" s="488">
        <v>0</v>
      </c>
      <c r="G108" s="489">
        <v>0</v>
      </c>
      <c r="H108" s="488">
        <v>8984.18</v>
      </c>
      <c r="I108" s="488">
        <v>0</v>
      </c>
      <c r="J108" s="488">
        <v>0</v>
      </c>
      <c r="K108" s="489">
        <v>0</v>
      </c>
      <c r="L108" s="490">
        <v>8984.18</v>
      </c>
    </row>
    <row r="109" spans="1:12">
      <c r="A109" s="491" t="s">
        <v>1401</v>
      </c>
      <c r="B109" s="485"/>
      <c r="C109" s="488">
        <v>26505978.600000001</v>
      </c>
      <c r="D109" s="488">
        <v>26738568.829999998</v>
      </c>
      <c r="E109" s="488">
        <v>3716360.1</v>
      </c>
      <c r="F109" s="488">
        <v>18700496.379999999</v>
      </c>
      <c r="G109" s="488">
        <v>16.729547489825908</v>
      </c>
      <c r="H109" s="488">
        <v>8038072.4500000002</v>
      </c>
      <c r="I109" s="488">
        <v>3716360.1</v>
      </c>
      <c r="J109" s="488">
        <v>18700496.379999999</v>
      </c>
      <c r="K109" s="488">
        <v>17.424091026858459</v>
      </c>
      <c r="L109" s="490">
        <v>8038072.4500000002</v>
      </c>
    </row>
    <row r="110" spans="1:12">
      <c r="A110" s="736" t="s">
        <v>1402</v>
      </c>
      <c r="B110" s="737"/>
      <c r="C110" s="492">
        <v>137392690.61000001</v>
      </c>
      <c r="D110" s="492">
        <v>152359861.44</v>
      </c>
      <c r="E110" s="492">
        <v>22245918.940000001</v>
      </c>
      <c r="F110" s="492">
        <v>111781244.48</v>
      </c>
      <c r="G110" s="493" t="s">
        <v>1403</v>
      </c>
      <c r="H110" s="492">
        <v>40578616.960000001</v>
      </c>
      <c r="I110" s="492">
        <v>22280007.489999998</v>
      </c>
      <c r="J110" s="492">
        <v>107325520.45999999</v>
      </c>
      <c r="K110" s="493" t="s">
        <v>1403</v>
      </c>
      <c r="L110" s="494">
        <v>45034340.979999997</v>
      </c>
    </row>
    <row r="111" spans="1:12">
      <c r="A111" s="495" t="s">
        <v>1404</v>
      </c>
      <c r="B111" s="496"/>
      <c r="C111" s="497">
        <v>26505978.600000001</v>
      </c>
      <c r="D111" s="497">
        <v>26738568.829999998</v>
      </c>
      <c r="E111" s="497">
        <v>3716360.1</v>
      </c>
      <c r="F111" s="497">
        <v>18700496.379999999</v>
      </c>
      <c r="G111" s="497">
        <v>16.729547489825908</v>
      </c>
      <c r="H111" s="497">
        <v>8038072.4500000002</v>
      </c>
      <c r="I111" s="497">
        <v>3716360.1</v>
      </c>
      <c r="J111" s="497">
        <v>18700496.379999999</v>
      </c>
      <c r="K111" s="497">
        <v>17.424091026858459</v>
      </c>
      <c r="L111" s="498">
        <v>8038072.4500000002</v>
      </c>
    </row>
    <row r="112" spans="1:12">
      <c r="A112" s="727" t="s">
        <v>1327</v>
      </c>
      <c r="B112" s="728"/>
      <c r="C112" s="488">
        <v>502000</v>
      </c>
      <c r="D112" s="488">
        <v>248200</v>
      </c>
      <c r="E112" s="488">
        <v>62220.81</v>
      </c>
      <c r="F112" s="488">
        <v>176087.38</v>
      </c>
      <c r="G112" s="489">
        <v>0.16</v>
      </c>
      <c r="H112" s="488">
        <v>72112.62</v>
      </c>
      <c r="I112" s="488">
        <v>62220.81</v>
      </c>
      <c r="J112" s="488">
        <v>176087.38</v>
      </c>
      <c r="K112" s="488">
        <v>0.16</v>
      </c>
      <c r="L112" s="490">
        <v>72112.62</v>
      </c>
    </row>
    <row r="113" spans="1:12">
      <c r="B113" s="491" t="s">
        <v>1328</v>
      </c>
      <c r="C113" s="488">
        <v>502000</v>
      </c>
      <c r="D113" s="488">
        <v>248200</v>
      </c>
      <c r="E113" s="488">
        <v>62220.81</v>
      </c>
      <c r="F113" s="488">
        <v>176087.38</v>
      </c>
      <c r="G113" s="489">
        <v>0.16</v>
      </c>
      <c r="H113" s="488">
        <v>72112.62</v>
      </c>
      <c r="I113" s="488">
        <v>62220.81</v>
      </c>
      <c r="J113" s="488">
        <v>176087.38</v>
      </c>
      <c r="K113" s="489">
        <v>0.16</v>
      </c>
      <c r="L113" s="490">
        <v>72112.62</v>
      </c>
    </row>
    <row r="114" spans="1:12">
      <c r="A114" s="727" t="s">
        <v>1332</v>
      </c>
      <c r="B114" s="728"/>
      <c r="C114" s="488">
        <v>10077814.619999999</v>
      </c>
      <c r="D114" s="488">
        <v>10471616.720000001</v>
      </c>
      <c r="E114" s="488">
        <v>1610595.31</v>
      </c>
      <c r="F114" s="488">
        <v>8038837</v>
      </c>
      <c r="G114" s="489">
        <v>7.19</v>
      </c>
      <c r="H114" s="488">
        <v>2432779.7200000002</v>
      </c>
      <c r="I114" s="488">
        <v>1610595.31</v>
      </c>
      <c r="J114" s="488">
        <v>8038837</v>
      </c>
      <c r="K114" s="488">
        <v>7.49</v>
      </c>
      <c r="L114" s="490">
        <v>2432779.7200000002</v>
      </c>
    </row>
    <row r="115" spans="1:12">
      <c r="B115" s="491" t="s">
        <v>1333</v>
      </c>
      <c r="C115" s="488">
        <v>10077814.619999999</v>
      </c>
      <c r="D115" s="488">
        <v>10471616.720000001</v>
      </c>
      <c r="E115" s="488">
        <v>1610595.31</v>
      </c>
      <c r="F115" s="488">
        <v>8038837</v>
      </c>
      <c r="G115" s="489">
        <v>7.19</v>
      </c>
      <c r="H115" s="488">
        <v>2432779.7200000002</v>
      </c>
      <c r="I115" s="488">
        <v>1610595.31</v>
      </c>
      <c r="J115" s="488">
        <v>8038837</v>
      </c>
      <c r="K115" s="489">
        <v>7.49</v>
      </c>
      <c r="L115" s="490">
        <v>2432779.7200000002</v>
      </c>
    </row>
    <row r="116" spans="1:12">
      <c r="A116" s="727" t="s">
        <v>1343</v>
      </c>
      <c r="B116" s="728"/>
      <c r="C116" s="488">
        <v>400</v>
      </c>
      <c r="D116" s="488">
        <v>400</v>
      </c>
      <c r="E116" s="488">
        <v>0</v>
      </c>
      <c r="F116" s="488">
        <v>0</v>
      </c>
      <c r="G116" s="489">
        <v>0</v>
      </c>
      <c r="H116" s="488">
        <v>400</v>
      </c>
      <c r="I116" s="488">
        <v>0</v>
      </c>
      <c r="J116" s="488">
        <v>0</v>
      </c>
      <c r="K116" s="488">
        <v>0</v>
      </c>
      <c r="L116" s="490">
        <v>400</v>
      </c>
    </row>
    <row r="117" spans="1:12">
      <c r="B117" s="491" t="s">
        <v>1344</v>
      </c>
      <c r="C117" s="488">
        <v>400</v>
      </c>
      <c r="D117" s="488">
        <v>400</v>
      </c>
      <c r="E117" s="488">
        <v>0</v>
      </c>
      <c r="F117" s="488">
        <v>0</v>
      </c>
      <c r="G117" s="489">
        <v>0</v>
      </c>
      <c r="H117" s="488">
        <v>400</v>
      </c>
      <c r="I117" s="488">
        <v>0</v>
      </c>
      <c r="J117" s="488">
        <v>0</v>
      </c>
      <c r="K117" s="489">
        <v>0</v>
      </c>
      <c r="L117" s="490">
        <v>400</v>
      </c>
    </row>
    <row r="118" spans="1:12">
      <c r="A118" s="727" t="s">
        <v>1347</v>
      </c>
      <c r="B118" s="728"/>
      <c r="C118" s="488">
        <v>546942.52</v>
      </c>
      <c r="D118" s="488">
        <v>526207.52</v>
      </c>
      <c r="E118" s="488">
        <v>78819.34</v>
      </c>
      <c r="F118" s="488">
        <v>397450.67</v>
      </c>
      <c r="G118" s="489">
        <v>0.36</v>
      </c>
      <c r="H118" s="488">
        <v>128756.85</v>
      </c>
      <c r="I118" s="488">
        <v>78819.34</v>
      </c>
      <c r="J118" s="488">
        <v>397450.67</v>
      </c>
      <c r="K118" s="488">
        <v>0.37</v>
      </c>
      <c r="L118" s="490">
        <v>128756.85</v>
      </c>
    </row>
    <row r="119" spans="1:12">
      <c r="B119" s="491" t="s">
        <v>1333</v>
      </c>
      <c r="C119" s="488">
        <v>546942.52</v>
      </c>
      <c r="D119" s="488">
        <v>526207.52</v>
      </c>
      <c r="E119" s="488">
        <v>78819.34</v>
      </c>
      <c r="F119" s="488">
        <v>397450.67</v>
      </c>
      <c r="G119" s="489">
        <v>0.36</v>
      </c>
      <c r="H119" s="488">
        <v>128756.85</v>
      </c>
      <c r="I119" s="488">
        <v>78819.34</v>
      </c>
      <c r="J119" s="488">
        <v>397450.67</v>
      </c>
      <c r="K119" s="489">
        <v>0.37</v>
      </c>
      <c r="L119" s="490">
        <v>128756.85</v>
      </c>
    </row>
    <row r="120" spans="1:12">
      <c r="A120" s="727" t="s">
        <v>1355</v>
      </c>
      <c r="B120" s="728"/>
      <c r="C120" s="488">
        <v>5063628.7</v>
      </c>
      <c r="D120" s="488">
        <v>4408668.03</v>
      </c>
      <c r="E120" s="488">
        <v>652024.36</v>
      </c>
      <c r="F120" s="488">
        <v>3355750.63</v>
      </c>
      <c r="G120" s="489">
        <v>3</v>
      </c>
      <c r="H120" s="488">
        <v>1052917.3999999999</v>
      </c>
      <c r="I120" s="488">
        <v>652024.36</v>
      </c>
      <c r="J120" s="488">
        <v>3355750.63</v>
      </c>
      <c r="K120" s="488">
        <v>3.13</v>
      </c>
      <c r="L120" s="490">
        <v>1052917.3999999999</v>
      </c>
    </row>
    <row r="121" spans="1:12">
      <c r="B121" s="491" t="s">
        <v>1333</v>
      </c>
      <c r="C121" s="488">
        <v>5062628.7</v>
      </c>
      <c r="D121" s="488">
        <v>4407668.03</v>
      </c>
      <c r="E121" s="488">
        <v>652024.36</v>
      </c>
      <c r="F121" s="488">
        <v>3355750.63</v>
      </c>
      <c r="G121" s="489">
        <v>3</v>
      </c>
      <c r="H121" s="488">
        <v>1051917.3999999999</v>
      </c>
      <c r="I121" s="488">
        <v>652024.36</v>
      </c>
      <c r="J121" s="488">
        <v>3355750.63</v>
      </c>
      <c r="K121" s="489">
        <v>3.13</v>
      </c>
      <c r="L121" s="490">
        <v>1051917.3999999999</v>
      </c>
    </row>
    <row r="122" spans="1:12">
      <c r="B122" s="491" t="s">
        <v>1329</v>
      </c>
      <c r="C122" s="488">
        <v>1000</v>
      </c>
      <c r="D122" s="488">
        <v>1000</v>
      </c>
      <c r="E122" s="488">
        <v>0</v>
      </c>
      <c r="F122" s="488">
        <v>0</v>
      </c>
      <c r="G122" s="489">
        <v>0</v>
      </c>
      <c r="H122" s="488">
        <v>1000</v>
      </c>
      <c r="I122" s="488">
        <v>0</v>
      </c>
      <c r="J122" s="488">
        <v>0</v>
      </c>
      <c r="K122" s="489">
        <v>0</v>
      </c>
      <c r="L122" s="490">
        <v>1000</v>
      </c>
    </row>
    <row r="123" spans="1:12">
      <c r="A123" s="727" t="s">
        <v>1361</v>
      </c>
      <c r="B123" s="728"/>
      <c r="C123" s="488">
        <v>10310190.76</v>
      </c>
      <c r="D123" s="488">
        <v>11078474.560000001</v>
      </c>
      <c r="E123" s="488">
        <v>1312700.28</v>
      </c>
      <c r="F123" s="488">
        <v>6732370.7000000002</v>
      </c>
      <c r="G123" s="489">
        <v>6.02</v>
      </c>
      <c r="H123" s="488">
        <v>4346103.8600000003</v>
      </c>
      <c r="I123" s="488">
        <v>1312700.28</v>
      </c>
      <c r="J123" s="488">
        <v>6732370.7000000002</v>
      </c>
      <c r="K123" s="488">
        <v>6.27</v>
      </c>
      <c r="L123" s="490">
        <v>4346103.8600000003</v>
      </c>
    </row>
    <row r="124" spans="1:12">
      <c r="B124" s="491" t="s">
        <v>1333</v>
      </c>
      <c r="C124" s="488">
        <v>436410.55</v>
      </c>
      <c r="D124" s="488">
        <v>402525.55</v>
      </c>
      <c r="E124" s="488">
        <v>50987.5</v>
      </c>
      <c r="F124" s="488">
        <v>258800.39</v>
      </c>
      <c r="G124" s="489">
        <v>0.23</v>
      </c>
      <c r="H124" s="488">
        <v>143725.16</v>
      </c>
      <c r="I124" s="488">
        <v>50987.5</v>
      </c>
      <c r="J124" s="488">
        <v>258800.39</v>
      </c>
      <c r="K124" s="489">
        <v>0.24</v>
      </c>
      <c r="L124" s="490">
        <v>143725.16</v>
      </c>
    </row>
    <row r="125" spans="1:12">
      <c r="B125" s="491" t="s">
        <v>1362</v>
      </c>
      <c r="C125" s="488">
        <v>6016689.5800000001</v>
      </c>
      <c r="D125" s="488">
        <v>6412403.3799999999</v>
      </c>
      <c r="E125" s="488">
        <v>816275.69</v>
      </c>
      <c r="F125" s="488">
        <v>4067900.39</v>
      </c>
      <c r="G125" s="489">
        <v>3.64</v>
      </c>
      <c r="H125" s="488">
        <v>2344502.9900000002</v>
      </c>
      <c r="I125" s="488">
        <v>816275.69</v>
      </c>
      <c r="J125" s="488">
        <v>4067900.39</v>
      </c>
      <c r="K125" s="489">
        <v>3.79</v>
      </c>
      <c r="L125" s="490">
        <v>2344502.9900000002</v>
      </c>
    </row>
    <row r="126" spans="1:12">
      <c r="B126" s="491" t="s">
        <v>1365</v>
      </c>
      <c r="C126" s="488">
        <v>3013507.94</v>
      </c>
      <c r="D126" s="488">
        <v>3419962.94</v>
      </c>
      <c r="E126" s="488">
        <v>336569.71</v>
      </c>
      <c r="F126" s="488">
        <v>1837880.69</v>
      </c>
      <c r="G126" s="489">
        <v>1.64</v>
      </c>
      <c r="H126" s="488">
        <v>1582082.25</v>
      </c>
      <c r="I126" s="488">
        <v>336569.71</v>
      </c>
      <c r="J126" s="488">
        <v>1837880.69</v>
      </c>
      <c r="K126" s="489">
        <v>1.71</v>
      </c>
      <c r="L126" s="490">
        <v>1582082.25</v>
      </c>
    </row>
    <row r="127" spans="1:12">
      <c r="B127" s="491" t="s">
        <v>1366</v>
      </c>
      <c r="C127" s="488">
        <v>226940.28</v>
      </c>
      <c r="D127" s="488">
        <v>226940.28</v>
      </c>
      <c r="E127" s="488">
        <v>26049.83</v>
      </c>
      <c r="F127" s="488">
        <v>138397.69</v>
      </c>
      <c r="G127" s="489">
        <v>0.12</v>
      </c>
      <c r="H127" s="488">
        <v>88542.59</v>
      </c>
      <c r="I127" s="488">
        <v>26049.83</v>
      </c>
      <c r="J127" s="488">
        <v>138397.69</v>
      </c>
      <c r="K127" s="489">
        <v>0.13</v>
      </c>
      <c r="L127" s="490">
        <v>88542.59</v>
      </c>
    </row>
    <row r="128" spans="1:12">
      <c r="B128" s="491" t="s">
        <v>1367</v>
      </c>
      <c r="C128" s="488">
        <v>616642.41</v>
      </c>
      <c r="D128" s="488">
        <v>616642.41</v>
      </c>
      <c r="E128" s="488">
        <v>82817.55</v>
      </c>
      <c r="F128" s="488">
        <v>429391.54</v>
      </c>
      <c r="G128" s="489">
        <v>0.38</v>
      </c>
      <c r="H128" s="488">
        <v>187250.87</v>
      </c>
      <c r="I128" s="488">
        <v>82817.55</v>
      </c>
      <c r="J128" s="488">
        <v>429391.54</v>
      </c>
      <c r="K128" s="489">
        <v>0.4</v>
      </c>
      <c r="L128" s="490">
        <v>187250.87</v>
      </c>
    </row>
    <row r="129" spans="1:12">
      <c r="A129" s="727" t="s">
        <v>1398</v>
      </c>
      <c r="B129" s="728"/>
      <c r="C129" s="488">
        <v>5002</v>
      </c>
      <c r="D129" s="488">
        <v>5002</v>
      </c>
      <c r="E129" s="488">
        <v>0</v>
      </c>
      <c r="F129" s="488">
        <v>0</v>
      </c>
      <c r="G129" s="489">
        <v>0</v>
      </c>
      <c r="H129" s="488">
        <v>5002</v>
      </c>
      <c r="I129" s="488">
        <v>0</v>
      </c>
      <c r="J129" s="488">
        <v>0</v>
      </c>
      <c r="K129" s="488">
        <v>0</v>
      </c>
      <c r="L129" s="490">
        <v>5002</v>
      </c>
    </row>
    <row r="130" spans="1:12">
      <c r="B130" s="491" t="s">
        <v>1399</v>
      </c>
      <c r="C130" s="488">
        <v>5002</v>
      </c>
      <c r="D130" s="488">
        <v>5002</v>
      </c>
      <c r="E130" s="488">
        <v>0</v>
      </c>
      <c r="F130" s="488">
        <v>0</v>
      </c>
      <c r="G130" s="489">
        <v>0</v>
      </c>
      <c r="H130" s="488">
        <v>5002</v>
      </c>
      <c r="I130" s="488">
        <v>0</v>
      </c>
      <c r="J130" s="488">
        <v>0</v>
      </c>
      <c r="K130" s="489">
        <v>0</v>
      </c>
      <c r="L130" s="490">
        <v>5002</v>
      </c>
    </row>
    <row r="131" spans="1:12">
      <c r="A131" s="738" t="s">
        <v>289</v>
      </c>
      <c r="B131" s="739"/>
      <c r="C131" s="499">
        <v>26505978.600000001</v>
      </c>
      <c r="D131" s="499">
        <v>26738568.829999998</v>
      </c>
      <c r="E131" s="499">
        <v>3716360.1</v>
      </c>
      <c r="F131" s="499">
        <v>18700496.379999999</v>
      </c>
      <c r="G131" s="499">
        <v>16.729547489825908</v>
      </c>
      <c r="H131" s="499">
        <v>8038072.4500000002</v>
      </c>
      <c r="I131" s="499">
        <v>3716360.1</v>
      </c>
      <c r="J131" s="499">
        <v>18700496.379999999</v>
      </c>
      <c r="K131" s="499">
        <v>17.424091026858459</v>
      </c>
      <c r="L131" s="500">
        <v>8038072.4500000002</v>
      </c>
    </row>
  </sheetData>
  <mergeCells count="41">
    <mergeCell ref="A118:B118"/>
    <mergeCell ref="A120:B120"/>
    <mergeCell ref="A123:B123"/>
    <mergeCell ref="A129:B129"/>
    <mergeCell ref="A131:B131"/>
    <mergeCell ref="A116:B116"/>
    <mergeCell ref="A88:B88"/>
    <mergeCell ref="A94:B94"/>
    <mergeCell ref="A96:B96"/>
    <mergeCell ref="A99:B99"/>
    <mergeCell ref="A101:B101"/>
    <mergeCell ref="A103:B103"/>
    <mergeCell ref="A105:B105"/>
    <mergeCell ref="A107:B107"/>
    <mergeCell ref="A110:B110"/>
    <mergeCell ref="A112:B112"/>
    <mergeCell ref="A114:B114"/>
    <mergeCell ref="A84:B84"/>
    <mergeCell ref="A30:B30"/>
    <mergeCell ref="A34:B34"/>
    <mergeCell ref="A42:B42"/>
    <mergeCell ref="A45:B45"/>
    <mergeCell ref="A56:B56"/>
    <mergeCell ref="A58:B58"/>
    <mergeCell ref="A69:B69"/>
    <mergeCell ref="A72:B72"/>
    <mergeCell ref="A75:B75"/>
    <mergeCell ref="A78:B78"/>
    <mergeCell ref="A81:B81"/>
    <mergeCell ref="A18:B18"/>
    <mergeCell ref="A1:L1"/>
    <mergeCell ref="A2:L2"/>
    <mergeCell ref="A3:L3"/>
    <mergeCell ref="A4:L4"/>
    <mergeCell ref="A5:L5"/>
    <mergeCell ref="A7:E7"/>
    <mergeCell ref="A8:B10"/>
    <mergeCell ref="E8:G8"/>
    <mergeCell ref="I8:K8"/>
    <mergeCell ref="A13:B13"/>
    <mergeCell ref="A16:B16"/>
  </mergeCells>
  <pageMargins left="0.511811024" right="0.511811024" top="0.78740157499999996" bottom="0.78740157499999996" header="0.31496062000000002" footer="0.3149606200000000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M96"/>
  <sheetViews>
    <sheetView workbookViewId="0">
      <selection activeCell="K53" sqref="K53"/>
    </sheetView>
  </sheetViews>
  <sheetFormatPr defaultRowHeight="15"/>
  <cols>
    <col min="1" max="1" width="27.28515625" customWidth="1"/>
    <col min="2" max="2" width="5" customWidth="1"/>
    <col min="3" max="3" width="12" customWidth="1"/>
    <col min="4" max="4" width="12.140625" customWidth="1"/>
    <col min="5" max="5" width="12" customWidth="1"/>
    <col min="6" max="6" width="12.140625" customWidth="1"/>
    <col min="7" max="7" width="12" customWidth="1"/>
    <col min="8" max="8" width="12.140625" customWidth="1"/>
    <col min="9" max="9" width="12" customWidth="1"/>
    <col min="10" max="10" width="5.140625" customWidth="1"/>
    <col min="11" max="11" width="6" customWidth="1"/>
    <col min="12" max="12" width="11.140625" customWidth="1"/>
    <col min="13" max="13" width="0.5703125" customWidth="1"/>
  </cols>
  <sheetData>
    <row r="1" spans="1:13" ht="11.85" customHeight="1">
      <c r="A1" s="740" t="s">
        <v>1405</v>
      </c>
      <c r="B1" s="740"/>
      <c r="C1" s="740"/>
      <c r="L1" s="741" t="s">
        <v>1406</v>
      </c>
      <c r="M1" s="741"/>
    </row>
    <row r="2" spans="1:13" ht="11.1" customHeight="1">
      <c r="A2" s="740" t="s">
        <v>882</v>
      </c>
      <c r="B2" s="740"/>
      <c r="C2" s="740"/>
    </row>
    <row r="3" spans="1:13" ht="11.85" customHeight="1">
      <c r="A3" s="742" t="s">
        <v>1407</v>
      </c>
      <c r="B3" s="742"/>
      <c r="C3" s="742"/>
    </row>
    <row r="4" spans="1:13" ht="11.85" customHeight="1">
      <c r="A4" s="740" t="s">
        <v>1310</v>
      </c>
      <c r="B4" s="740"/>
      <c r="C4" s="740"/>
    </row>
    <row r="5" spans="1:13" ht="11.85" customHeight="1">
      <c r="A5" s="740" t="s">
        <v>1408</v>
      </c>
      <c r="B5" s="740"/>
      <c r="C5" s="740"/>
    </row>
    <row r="6" spans="1:13" ht="5.85" customHeight="1"/>
    <row r="7" spans="1:13" ht="11.1" customHeight="1">
      <c r="A7" s="501" t="s">
        <v>1409</v>
      </c>
      <c r="B7" s="502"/>
      <c r="C7" s="502"/>
      <c r="D7" s="502"/>
      <c r="E7" s="502"/>
      <c r="F7" s="502"/>
      <c r="G7" s="502"/>
      <c r="H7" s="502"/>
      <c r="I7" s="502"/>
      <c r="J7" s="750" t="s">
        <v>1312</v>
      </c>
      <c r="K7" s="750"/>
      <c r="L7" s="750"/>
      <c r="M7" s="750"/>
    </row>
    <row r="8" spans="1:13" ht="11.85" customHeight="1">
      <c r="A8" s="751" t="s">
        <v>1410</v>
      </c>
      <c r="B8" s="752"/>
      <c r="C8" s="757" t="s">
        <v>1411</v>
      </c>
      <c r="D8" s="758"/>
      <c r="E8" s="758"/>
      <c r="F8" s="758"/>
      <c r="G8" s="758"/>
      <c r="H8" s="758"/>
      <c r="I8" s="758"/>
      <c r="J8" s="758"/>
      <c r="K8" s="758"/>
      <c r="L8" s="758"/>
      <c r="M8" s="759"/>
    </row>
    <row r="9" spans="1:13" ht="11.85" customHeight="1">
      <c r="A9" s="753"/>
      <c r="B9" s="754"/>
      <c r="C9" s="503" t="s">
        <v>1412</v>
      </c>
      <c r="D9" s="503" t="s">
        <v>1413</v>
      </c>
      <c r="E9" s="503" t="s">
        <v>1414</v>
      </c>
      <c r="F9" s="503" t="s">
        <v>1415</v>
      </c>
      <c r="G9" s="503" t="s">
        <v>1416</v>
      </c>
      <c r="H9" s="503" t="s">
        <v>1417</v>
      </c>
      <c r="I9" s="760" t="s">
        <v>1418</v>
      </c>
      <c r="J9" s="761"/>
      <c r="K9" s="760" t="s">
        <v>1419</v>
      </c>
      <c r="L9" s="764"/>
      <c r="M9" s="761"/>
    </row>
    <row r="10" spans="1:13" ht="11.85" customHeight="1">
      <c r="A10" s="755"/>
      <c r="B10" s="756"/>
      <c r="C10" s="503" t="s">
        <v>1420</v>
      </c>
      <c r="D10" s="503" t="s">
        <v>1421</v>
      </c>
      <c r="E10" s="503" t="s">
        <v>1422</v>
      </c>
      <c r="F10" s="503" t="s">
        <v>1423</v>
      </c>
      <c r="G10" s="503" t="s">
        <v>1424</v>
      </c>
      <c r="H10" s="503" t="s">
        <v>1425</v>
      </c>
      <c r="I10" s="762"/>
      <c r="J10" s="763"/>
      <c r="K10" s="762"/>
      <c r="L10" s="765"/>
      <c r="M10" s="763"/>
    </row>
    <row r="11" spans="1:13" ht="11.1" customHeight="1">
      <c r="A11" s="766" t="s">
        <v>1426</v>
      </c>
      <c r="B11" s="767"/>
      <c r="C11" s="504" t="s">
        <v>1427</v>
      </c>
      <c r="D11" s="504" t="s">
        <v>1428</v>
      </c>
      <c r="E11" s="504" t="s">
        <v>1429</v>
      </c>
      <c r="F11" s="504" t="s">
        <v>1430</v>
      </c>
      <c r="G11" s="504" t="s">
        <v>1431</v>
      </c>
      <c r="H11" s="504" t="s">
        <v>1432</v>
      </c>
      <c r="I11" s="768" t="s">
        <v>1433</v>
      </c>
      <c r="J11" s="769"/>
      <c r="K11" s="768" t="s">
        <v>1434</v>
      </c>
      <c r="L11" s="770"/>
      <c r="M11" s="769"/>
    </row>
    <row r="12" spans="1:13" ht="11.85" customHeight="1">
      <c r="A12" s="745"/>
      <c r="B12" s="744"/>
      <c r="C12" s="505" t="s">
        <v>1435</v>
      </c>
      <c r="D12" s="505" t="s">
        <v>1436</v>
      </c>
      <c r="E12" s="505" t="s">
        <v>1437</v>
      </c>
      <c r="F12" s="505" t="s">
        <v>1438</v>
      </c>
      <c r="G12" s="505" t="s">
        <v>1439</v>
      </c>
      <c r="H12" s="505" t="s">
        <v>1440</v>
      </c>
      <c r="I12" s="748"/>
      <c r="J12" s="747"/>
      <c r="K12" s="748"/>
      <c r="L12" s="749"/>
      <c r="M12" s="747"/>
    </row>
    <row r="13" spans="1:13" ht="11.85" customHeight="1">
      <c r="A13" s="743" t="s">
        <v>1441</v>
      </c>
      <c r="B13" s="744"/>
      <c r="C13" s="505" t="s">
        <v>1442</v>
      </c>
      <c r="D13" s="505" t="s">
        <v>1443</v>
      </c>
      <c r="E13" s="505" t="s">
        <v>1444</v>
      </c>
      <c r="F13" s="505" t="s">
        <v>1445</v>
      </c>
      <c r="G13" s="505" t="s">
        <v>1446</v>
      </c>
      <c r="H13" s="505" t="s">
        <v>1447</v>
      </c>
      <c r="I13" s="746" t="s">
        <v>1448</v>
      </c>
      <c r="J13" s="747"/>
      <c r="K13" s="746" t="s">
        <v>1449</v>
      </c>
      <c r="L13" s="749"/>
      <c r="M13" s="747"/>
    </row>
    <row r="14" spans="1:13" ht="11.85" customHeight="1">
      <c r="A14" s="745"/>
      <c r="B14" s="744"/>
      <c r="C14" s="505" t="s">
        <v>1450</v>
      </c>
      <c r="D14" s="505" t="s">
        <v>1451</v>
      </c>
      <c r="E14" s="505" t="s">
        <v>1452</v>
      </c>
      <c r="F14" s="505" t="s">
        <v>1453</v>
      </c>
      <c r="G14" s="505" t="s">
        <v>1454</v>
      </c>
      <c r="H14" s="505" t="s">
        <v>1455</v>
      </c>
      <c r="I14" s="748"/>
      <c r="J14" s="747"/>
      <c r="K14" s="748"/>
      <c r="L14" s="749"/>
      <c r="M14" s="747"/>
    </row>
    <row r="15" spans="1:13" ht="11.1" customHeight="1">
      <c r="A15" s="743" t="s">
        <v>215</v>
      </c>
      <c r="B15" s="744"/>
      <c r="C15" s="505" t="s">
        <v>1456</v>
      </c>
      <c r="D15" s="505" t="s">
        <v>1457</v>
      </c>
      <c r="E15" s="505" t="s">
        <v>1458</v>
      </c>
      <c r="F15" s="505" t="s">
        <v>1459</v>
      </c>
      <c r="G15" s="505" t="s">
        <v>1460</v>
      </c>
      <c r="H15" s="505" t="s">
        <v>1461</v>
      </c>
      <c r="I15" s="746" t="s">
        <v>1462</v>
      </c>
      <c r="J15" s="747"/>
      <c r="K15" s="746" t="s">
        <v>1463</v>
      </c>
      <c r="L15" s="749"/>
      <c r="M15" s="747"/>
    </row>
    <row r="16" spans="1:13" ht="11.85" customHeight="1">
      <c r="A16" s="745"/>
      <c r="B16" s="744"/>
      <c r="C16" s="505" t="s">
        <v>1464</v>
      </c>
      <c r="D16" s="505" t="s">
        <v>1465</v>
      </c>
      <c r="E16" s="505" t="s">
        <v>1466</v>
      </c>
      <c r="F16" s="505" t="s">
        <v>1467</v>
      </c>
      <c r="G16" s="505" t="s">
        <v>1468</v>
      </c>
      <c r="H16" s="505" t="s">
        <v>1469</v>
      </c>
      <c r="I16" s="748"/>
      <c r="J16" s="747"/>
      <c r="K16" s="748"/>
      <c r="L16" s="749"/>
      <c r="M16" s="747"/>
    </row>
    <row r="17" spans="1:13" ht="11.85" customHeight="1">
      <c r="A17" s="743" t="s">
        <v>1470</v>
      </c>
      <c r="B17" s="744"/>
      <c r="C17" s="505" t="s">
        <v>1471</v>
      </c>
      <c r="D17" s="505" t="s">
        <v>1472</v>
      </c>
      <c r="E17" s="505" t="s">
        <v>1473</v>
      </c>
      <c r="F17" s="505" t="s">
        <v>1474</v>
      </c>
      <c r="G17" s="505" t="s">
        <v>1475</v>
      </c>
      <c r="H17" s="505" t="s">
        <v>1476</v>
      </c>
      <c r="I17" s="746" t="s">
        <v>1477</v>
      </c>
      <c r="J17" s="747"/>
      <c r="K17" s="746" t="s">
        <v>1478</v>
      </c>
      <c r="L17" s="749"/>
      <c r="M17" s="747"/>
    </row>
    <row r="18" spans="1:13" ht="11.85" customHeight="1">
      <c r="A18" s="745"/>
      <c r="B18" s="744"/>
      <c r="C18" s="505" t="s">
        <v>1479</v>
      </c>
      <c r="D18" s="505" t="s">
        <v>1480</v>
      </c>
      <c r="E18" s="505" t="s">
        <v>1481</v>
      </c>
      <c r="F18" s="505" t="s">
        <v>1482</v>
      </c>
      <c r="G18" s="505" t="s">
        <v>1483</v>
      </c>
      <c r="H18" s="505" t="s">
        <v>1484</v>
      </c>
      <c r="I18" s="748"/>
      <c r="J18" s="747"/>
      <c r="K18" s="748"/>
      <c r="L18" s="749"/>
      <c r="M18" s="747"/>
    </row>
    <row r="19" spans="1:13" ht="11.1" customHeight="1">
      <c r="A19" s="743" t="s">
        <v>217</v>
      </c>
      <c r="B19" s="744"/>
      <c r="C19" s="505" t="s">
        <v>1485</v>
      </c>
      <c r="D19" s="505" t="s">
        <v>1486</v>
      </c>
      <c r="E19" s="505" t="s">
        <v>1487</v>
      </c>
      <c r="F19" s="505" t="s">
        <v>1488</v>
      </c>
      <c r="G19" s="505" t="s">
        <v>1489</v>
      </c>
      <c r="H19" s="505" t="s">
        <v>1490</v>
      </c>
      <c r="I19" s="746" t="s">
        <v>1491</v>
      </c>
      <c r="J19" s="747"/>
      <c r="K19" s="746" t="s">
        <v>1492</v>
      </c>
      <c r="L19" s="749"/>
      <c r="M19" s="747"/>
    </row>
    <row r="20" spans="1:13" ht="11.85" customHeight="1">
      <c r="A20" s="745"/>
      <c r="B20" s="744"/>
      <c r="C20" s="505" t="s">
        <v>1493</v>
      </c>
      <c r="D20" s="505" t="s">
        <v>1494</v>
      </c>
      <c r="E20" s="505" t="s">
        <v>1495</v>
      </c>
      <c r="F20" s="505" t="s">
        <v>1496</v>
      </c>
      <c r="G20" s="505" t="s">
        <v>1497</v>
      </c>
      <c r="H20" s="505" t="s">
        <v>1498</v>
      </c>
      <c r="I20" s="748"/>
      <c r="J20" s="747"/>
      <c r="K20" s="748"/>
      <c r="L20" s="749"/>
      <c r="M20" s="747"/>
    </row>
    <row r="21" spans="1:13" ht="11.85" customHeight="1">
      <c r="A21" s="743" t="s">
        <v>213</v>
      </c>
      <c r="B21" s="744"/>
      <c r="C21" s="505" t="s">
        <v>1499</v>
      </c>
      <c r="D21" s="505" t="s">
        <v>1500</v>
      </c>
      <c r="E21" s="505" t="s">
        <v>1501</v>
      </c>
      <c r="F21" s="505" t="s">
        <v>1502</v>
      </c>
      <c r="G21" s="505" t="s">
        <v>1503</v>
      </c>
      <c r="H21" s="505" t="s">
        <v>1504</v>
      </c>
      <c r="I21" s="746" t="s">
        <v>1505</v>
      </c>
      <c r="J21" s="747"/>
      <c r="K21" s="746" t="s">
        <v>1506</v>
      </c>
      <c r="L21" s="749"/>
      <c r="M21" s="747"/>
    </row>
    <row r="22" spans="1:13" ht="11.85" customHeight="1">
      <c r="A22" s="745"/>
      <c r="B22" s="744"/>
      <c r="C22" s="505" t="s">
        <v>1507</v>
      </c>
      <c r="D22" s="505" t="s">
        <v>1508</v>
      </c>
      <c r="E22" s="505" t="s">
        <v>1509</v>
      </c>
      <c r="F22" s="505" t="s">
        <v>1510</v>
      </c>
      <c r="G22" s="505" t="s">
        <v>1511</v>
      </c>
      <c r="H22" s="505" t="s">
        <v>1512</v>
      </c>
      <c r="I22" s="748"/>
      <c r="J22" s="747"/>
      <c r="K22" s="748"/>
      <c r="L22" s="749"/>
      <c r="M22" s="747"/>
    </row>
    <row r="23" spans="1:13" ht="11.1" customHeight="1">
      <c r="A23" s="743" t="s">
        <v>1513</v>
      </c>
      <c r="B23" s="744"/>
      <c r="C23" s="505" t="s">
        <v>1514</v>
      </c>
      <c r="D23" s="505" t="s">
        <v>1515</v>
      </c>
      <c r="E23" s="505" t="s">
        <v>1516</v>
      </c>
      <c r="F23" s="505" t="s">
        <v>1517</v>
      </c>
      <c r="G23" s="505" t="s">
        <v>1518</v>
      </c>
      <c r="H23" s="505" t="s">
        <v>1519</v>
      </c>
      <c r="I23" s="746" t="s">
        <v>1520</v>
      </c>
      <c r="J23" s="747"/>
      <c r="K23" s="746" t="s">
        <v>1521</v>
      </c>
      <c r="L23" s="749"/>
      <c r="M23" s="747"/>
    </row>
    <row r="24" spans="1:13" ht="11.85" customHeight="1">
      <c r="A24" s="745"/>
      <c r="B24" s="744"/>
      <c r="C24" s="505" t="s">
        <v>1522</v>
      </c>
      <c r="D24" s="505" t="s">
        <v>1523</v>
      </c>
      <c r="E24" s="505" t="s">
        <v>1524</v>
      </c>
      <c r="F24" s="505" t="s">
        <v>1525</v>
      </c>
      <c r="G24" s="505" t="s">
        <v>1526</v>
      </c>
      <c r="H24" s="505" t="s">
        <v>1527</v>
      </c>
      <c r="I24" s="748"/>
      <c r="J24" s="747"/>
      <c r="K24" s="748"/>
      <c r="L24" s="749"/>
      <c r="M24" s="747"/>
    </row>
    <row r="25" spans="1:13" ht="11.85" customHeight="1">
      <c r="A25" s="743" t="s">
        <v>1528</v>
      </c>
      <c r="B25" s="744"/>
      <c r="C25" s="505" t="s">
        <v>1529</v>
      </c>
      <c r="D25" s="505" t="s">
        <v>1530</v>
      </c>
      <c r="E25" s="505" t="s">
        <v>1531</v>
      </c>
      <c r="F25" s="505" t="s">
        <v>1532</v>
      </c>
      <c r="G25" s="505" t="s">
        <v>1533</v>
      </c>
      <c r="H25" s="505" t="s">
        <v>1534</v>
      </c>
      <c r="I25" s="746" t="s">
        <v>1535</v>
      </c>
      <c r="J25" s="747"/>
      <c r="K25" s="746" t="s">
        <v>1536</v>
      </c>
      <c r="L25" s="749"/>
      <c r="M25" s="747"/>
    </row>
    <row r="26" spans="1:13" ht="11.85" customHeight="1">
      <c r="A26" s="745"/>
      <c r="B26" s="744"/>
      <c r="C26" s="505" t="s">
        <v>1537</v>
      </c>
      <c r="D26" s="505" t="s">
        <v>1538</v>
      </c>
      <c r="E26" s="505" t="s">
        <v>1539</v>
      </c>
      <c r="F26" s="505" t="s">
        <v>1540</v>
      </c>
      <c r="G26" s="505" t="s">
        <v>1541</v>
      </c>
      <c r="H26" s="505" t="s">
        <v>1542</v>
      </c>
      <c r="I26" s="748"/>
      <c r="J26" s="747"/>
      <c r="K26" s="748"/>
      <c r="L26" s="749"/>
      <c r="M26" s="747"/>
    </row>
    <row r="27" spans="1:13" ht="11.1" customHeight="1">
      <c r="A27" s="743" t="s">
        <v>1543</v>
      </c>
      <c r="B27" s="744"/>
      <c r="C27" s="505" t="s">
        <v>1544</v>
      </c>
      <c r="D27" s="505" t="s">
        <v>1545</v>
      </c>
      <c r="E27" s="505" t="s">
        <v>1546</v>
      </c>
      <c r="F27" s="505" t="s">
        <v>1547</v>
      </c>
      <c r="G27" s="505" t="s">
        <v>1548</v>
      </c>
      <c r="H27" s="505" t="s">
        <v>1549</v>
      </c>
      <c r="I27" s="746" t="s">
        <v>1550</v>
      </c>
      <c r="J27" s="747"/>
      <c r="K27" s="746" t="s">
        <v>1551</v>
      </c>
      <c r="L27" s="749"/>
      <c r="M27" s="747"/>
    </row>
    <row r="28" spans="1:13" ht="11.85" customHeight="1">
      <c r="A28" s="745"/>
      <c r="B28" s="744"/>
      <c r="C28" s="505" t="s">
        <v>1552</v>
      </c>
      <c r="D28" s="505" t="s">
        <v>1553</v>
      </c>
      <c r="E28" s="505" t="s">
        <v>1554</v>
      </c>
      <c r="F28" s="505" t="s">
        <v>1555</v>
      </c>
      <c r="G28" s="505" t="s">
        <v>1556</v>
      </c>
      <c r="H28" s="505" t="s">
        <v>1557</v>
      </c>
      <c r="I28" s="748"/>
      <c r="J28" s="747"/>
      <c r="K28" s="748"/>
      <c r="L28" s="749"/>
      <c r="M28" s="747"/>
    </row>
    <row r="29" spans="1:13" ht="11.85" customHeight="1">
      <c r="A29" s="743" t="s">
        <v>1558</v>
      </c>
      <c r="B29" s="744"/>
      <c r="C29" s="505" t="s">
        <v>1559</v>
      </c>
      <c r="D29" s="505" t="s">
        <v>1560</v>
      </c>
      <c r="E29" s="505" t="s">
        <v>1561</v>
      </c>
      <c r="F29" s="505" t="s">
        <v>1562</v>
      </c>
      <c r="G29" s="505" t="s">
        <v>1563</v>
      </c>
      <c r="H29" s="505" t="s">
        <v>1564</v>
      </c>
      <c r="I29" s="746" t="s">
        <v>1565</v>
      </c>
      <c r="J29" s="747"/>
      <c r="K29" s="746" t="s">
        <v>1566</v>
      </c>
      <c r="L29" s="749"/>
      <c r="M29" s="747"/>
    </row>
    <row r="30" spans="1:13" ht="11.85" customHeight="1">
      <c r="A30" s="745"/>
      <c r="B30" s="744"/>
      <c r="C30" s="505" t="s">
        <v>1567</v>
      </c>
      <c r="D30" s="505" t="s">
        <v>1568</v>
      </c>
      <c r="E30" s="505" t="s">
        <v>1569</v>
      </c>
      <c r="F30" s="505" t="s">
        <v>1570</v>
      </c>
      <c r="G30" s="505" t="s">
        <v>1571</v>
      </c>
      <c r="H30" s="505" t="s">
        <v>1572</v>
      </c>
      <c r="I30" s="748"/>
      <c r="J30" s="747"/>
      <c r="K30" s="748"/>
      <c r="L30" s="749"/>
      <c r="M30" s="747"/>
    </row>
    <row r="31" spans="1:13" ht="11.1" customHeight="1">
      <c r="A31" s="743" t="s">
        <v>1573</v>
      </c>
      <c r="B31" s="744"/>
      <c r="C31" s="505" t="s">
        <v>1574</v>
      </c>
      <c r="D31" s="505" t="s">
        <v>1575</v>
      </c>
      <c r="E31" s="505" t="s">
        <v>1576</v>
      </c>
      <c r="F31" s="505" t="s">
        <v>1577</v>
      </c>
      <c r="G31" s="505" t="s">
        <v>1578</v>
      </c>
      <c r="H31" s="505" t="s">
        <v>1579</v>
      </c>
      <c r="I31" s="746" t="s">
        <v>1580</v>
      </c>
      <c r="J31" s="747"/>
      <c r="K31" s="746" t="s">
        <v>1581</v>
      </c>
      <c r="L31" s="749"/>
      <c r="M31" s="747"/>
    </row>
    <row r="32" spans="1:13" ht="11.85" customHeight="1">
      <c r="A32" s="745"/>
      <c r="B32" s="744"/>
      <c r="C32" s="505" t="s">
        <v>1579</v>
      </c>
      <c r="D32" s="505" t="s">
        <v>1579</v>
      </c>
      <c r="E32" s="505" t="s">
        <v>1582</v>
      </c>
      <c r="F32" s="505" t="s">
        <v>1583</v>
      </c>
      <c r="G32" s="505" t="s">
        <v>1584</v>
      </c>
      <c r="H32" s="505" t="s">
        <v>1585</v>
      </c>
      <c r="I32" s="748"/>
      <c r="J32" s="747"/>
      <c r="K32" s="748"/>
      <c r="L32" s="749"/>
      <c r="M32" s="747"/>
    </row>
    <row r="33" spans="1:13" ht="11.85" customHeight="1">
      <c r="A33" s="743" t="s">
        <v>1586</v>
      </c>
      <c r="B33" s="744"/>
      <c r="C33" s="505" t="s">
        <v>1587</v>
      </c>
      <c r="D33" s="505" t="s">
        <v>1588</v>
      </c>
      <c r="E33" s="505" t="s">
        <v>1589</v>
      </c>
      <c r="F33" s="505" t="s">
        <v>1590</v>
      </c>
      <c r="G33" s="505" t="s">
        <v>1591</v>
      </c>
      <c r="H33" s="505" t="s">
        <v>1592</v>
      </c>
      <c r="I33" s="746" t="s">
        <v>1593</v>
      </c>
      <c r="J33" s="747"/>
      <c r="K33" s="746" t="s">
        <v>1594</v>
      </c>
      <c r="L33" s="749"/>
      <c r="M33" s="747"/>
    </row>
    <row r="34" spans="1:13" ht="11.85" customHeight="1">
      <c r="A34" s="745"/>
      <c r="B34" s="744"/>
      <c r="C34" s="505" t="s">
        <v>1595</v>
      </c>
      <c r="D34" s="505" t="s">
        <v>1596</v>
      </c>
      <c r="E34" s="505" t="s">
        <v>1597</v>
      </c>
      <c r="F34" s="505" t="s">
        <v>1598</v>
      </c>
      <c r="G34" s="505" t="s">
        <v>1599</v>
      </c>
      <c r="H34" s="505" t="s">
        <v>1600</v>
      </c>
      <c r="I34" s="748"/>
      <c r="J34" s="747"/>
      <c r="K34" s="748"/>
      <c r="L34" s="749"/>
      <c r="M34" s="747"/>
    </row>
    <row r="35" spans="1:13" ht="11.1" customHeight="1">
      <c r="A35" s="743" t="s">
        <v>1601</v>
      </c>
      <c r="B35" s="744"/>
      <c r="C35" s="505" t="s">
        <v>895</v>
      </c>
      <c r="D35" s="505" t="s">
        <v>895</v>
      </c>
      <c r="E35" s="505" t="s">
        <v>895</v>
      </c>
      <c r="F35" s="505" t="s">
        <v>895</v>
      </c>
      <c r="G35" s="505" t="s">
        <v>895</v>
      </c>
      <c r="H35" s="505" t="s">
        <v>895</v>
      </c>
      <c r="I35" s="746" t="s">
        <v>895</v>
      </c>
      <c r="J35" s="747"/>
      <c r="K35" s="746" t="s">
        <v>895</v>
      </c>
      <c r="L35" s="749"/>
      <c r="M35" s="747"/>
    </row>
    <row r="36" spans="1:13" ht="11.85" customHeight="1">
      <c r="A36" s="745"/>
      <c r="B36" s="744"/>
      <c r="C36" s="505" t="s">
        <v>895</v>
      </c>
      <c r="D36" s="505" t="s">
        <v>895</v>
      </c>
      <c r="E36" s="505" t="s">
        <v>895</v>
      </c>
      <c r="F36" s="505" t="s">
        <v>895</v>
      </c>
      <c r="G36" s="505" t="s">
        <v>895</v>
      </c>
      <c r="H36" s="505" t="s">
        <v>895</v>
      </c>
      <c r="I36" s="748"/>
      <c r="J36" s="747"/>
      <c r="K36" s="748"/>
      <c r="L36" s="749"/>
      <c r="M36" s="747"/>
    </row>
    <row r="37" spans="1:13" ht="11.85" customHeight="1">
      <c r="A37" s="743" t="s">
        <v>1602</v>
      </c>
      <c r="B37" s="744"/>
      <c r="C37" s="505" t="s">
        <v>1603</v>
      </c>
      <c r="D37" s="505" t="s">
        <v>1604</v>
      </c>
      <c r="E37" s="505" t="s">
        <v>1605</v>
      </c>
      <c r="F37" s="505" t="s">
        <v>1606</v>
      </c>
      <c r="G37" s="505" t="s">
        <v>1607</v>
      </c>
      <c r="H37" s="505" t="s">
        <v>1608</v>
      </c>
      <c r="I37" s="746" t="s">
        <v>1609</v>
      </c>
      <c r="J37" s="747"/>
      <c r="K37" s="746" t="s">
        <v>1610</v>
      </c>
      <c r="L37" s="749"/>
      <c r="M37" s="747"/>
    </row>
    <row r="38" spans="1:13" ht="11.85" customHeight="1">
      <c r="A38" s="745"/>
      <c r="B38" s="744"/>
      <c r="C38" s="505" t="s">
        <v>1611</v>
      </c>
      <c r="D38" s="505" t="s">
        <v>1612</v>
      </c>
      <c r="E38" s="505" t="s">
        <v>1613</v>
      </c>
      <c r="F38" s="505" t="s">
        <v>1614</v>
      </c>
      <c r="G38" s="505" t="s">
        <v>1615</v>
      </c>
      <c r="H38" s="505" t="s">
        <v>1616</v>
      </c>
      <c r="I38" s="748"/>
      <c r="J38" s="747"/>
      <c r="K38" s="748"/>
      <c r="L38" s="749"/>
      <c r="M38" s="747"/>
    </row>
    <row r="39" spans="1:13" ht="11.1" customHeight="1">
      <c r="A39" s="743" t="s">
        <v>1617</v>
      </c>
      <c r="B39" s="744"/>
      <c r="C39" s="505" t="s">
        <v>1618</v>
      </c>
      <c r="D39" s="505" t="s">
        <v>1619</v>
      </c>
      <c r="E39" s="505" t="s">
        <v>1620</v>
      </c>
      <c r="F39" s="505" t="s">
        <v>1621</v>
      </c>
      <c r="G39" s="505" t="s">
        <v>1622</v>
      </c>
      <c r="H39" s="505" t="s">
        <v>1623</v>
      </c>
      <c r="I39" s="746" t="s">
        <v>1624</v>
      </c>
      <c r="J39" s="747"/>
      <c r="K39" s="746" t="s">
        <v>1625</v>
      </c>
      <c r="L39" s="749"/>
      <c r="M39" s="747"/>
    </row>
    <row r="40" spans="1:13" ht="11.85" customHeight="1">
      <c r="A40" s="745"/>
      <c r="B40" s="744"/>
      <c r="C40" s="505" t="s">
        <v>1626</v>
      </c>
      <c r="D40" s="505" t="s">
        <v>1627</v>
      </c>
      <c r="E40" s="505" t="s">
        <v>1628</v>
      </c>
      <c r="F40" s="505" t="s">
        <v>1629</v>
      </c>
      <c r="G40" s="505" t="s">
        <v>1630</v>
      </c>
      <c r="H40" s="505" t="s">
        <v>1631</v>
      </c>
      <c r="I40" s="748"/>
      <c r="J40" s="747"/>
      <c r="K40" s="748"/>
      <c r="L40" s="749"/>
      <c r="M40" s="747"/>
    </row>
    <row r="41" spans="1:13" ht="11.85" customHeight="1">
      <c r="A41" s="743" t="s">
        <v>1632</v>
      </c>
      <c r="B41" s="744"/>
      <c r="C41" s="505" t="s">
        <v>1633</v>
      </c>
      <c r="D41" s="505" t="s">
        <v>1634</v>
      </c>
      <c r="E41" s="505" t="s">
        <v>1635</v>
      </c>
      <c r="F41" s="505" t="s">
        <v>1636</v>
      </c>
      <c r="G41" s="505" t="s">
        <v>1637</v>
      </c>
      <c r="H41" s="505" t="s">
        <v>1638</v>
      </c>
      <c r="I41" s="746" t="s">
        <v>1639</v>
      </c>
      <c r="J41" s="747"/>
      <c r="K41" s="746" t="s">
        <v>1640</v>
      </c>
      <c r="L41" s="749"/>
      <c r="M41" s="747"/>
    </row>
    <row r="42" spans="1:13" ht="11.85" customHeight="1">
      <c r="A42" s="745"/>
      <c r="B42" s="744"/>
      <c r="C42" s="505" t="s">
        <v>1641</v>
      </c>
      <c r="D42" s="505" t="s">
        <v>1642</v>
      </c>
      <c r="E42" s="505" t="s">
        <v>1643</v>
      </c>
      <c r="F42" s="505" t="s">
        <v>1644</v>
      </c>
      <c r="G42" s="505" t="s">
        <v>1645</v>
      </c>
      <c r="H42" s="505" t="s">
        <v>1646</v>
      </c>
      <c r="I42" s="748"/>
      <c r="J42" s="747"/>
      <c r="K42" s="748"/>
      <c r="L42" s="749"/>
      <c r="M42" s="747"/>
    </row>
    <row r="43" spans="1:13" ht="11.1" customHeight="1">
      <c r="A43" s="743" t="s">
        <v>1647</v>
      </c>
      <c r="B43" s="744"/>
      <c r="C43" s="505" t="s">
        <v>1648</v>
      </c>
      <c r="D43" s="505" t="s">
        <v>1649</v>
      </c>
      <c r="E43" s="505" t="s">
        <v>1650</v>
      </c>
      <c r="F43" s="505" t="s">
        <v>1651</v>
      </c>
      <c r="G43" s="505" t="s">
        <v>1652</v>
      </c>
      <c r="H43" s="505" t="s">
        <v>1653</v>
      </c>
      <c r="I43" s="746" t="s">
        <v>1654</v>
      </c>
      <c r="J43" s="747"/>
      <c r="K43" s="746" t="s">
        <v>1655</v>
      </c>
      <c r="L43" s="749"/>
      <c r="M43" s="747"/>
    </row>
    <row r="44" spans="1:13" ht="11.85" customHeight="1">
      <c r="A44" s="745"/>
      <c r="B44" s="744"/>
      <c r="C44" s="505" t="s">
        <v>1656</v>
      </c>
      <c r="D44" s="505" t="s">
        <v>1657</v>
      </c>
      <c r="E44" s="505" t="s">
        <v>1658</v>
      </c>
      <c r="F44" s="505" t="s">
        <v>1659</v>
      </c>
      <c r="G44" s="505" t="s">
        <v>1660</v>
      </c>
      <c r="H44" s="505" t="s">
        <v>1661</v>
      </c>
      <c r="I44" s="748"/>
      <c r="J44" s="747"/>
      <c r="K44" s="748"/>
      <c r="L44" s="749"/>
      <c r="M44" s="747"/>
    </row>
    <row r="45" spans="1:13" ht="11.85" customHeight="1">
      <c r="A45" s="771" t="s">
        <v>1662</v>
      </c>
      <c r="B45" s="744"/>
      <c r="C45" s="505" t="s">
        <v>1663</v>
      </c>
      <c r="D45" s="505" t="s">
        <v>1664</v>
      </c>
      <c r="E45" s="505" t="s">
        <v>1665</v>
      </c>
      <c r="F45" s="505" t="s">
        <v>1666</v>
      </c>
      <c r="G45" s="505" t="s">
        <v>1667</v>
      </c>
      <c r="H45" s="505" t="s">
        <v>1668</v>
      </c>
      <c r="I45" s="774" t="s">
        <v>1669</v>
      </c>
      <c r="J45" s="747"/>
      <c r="K45" s="774" t="s">
        <v>1670</v>
      </c>
      <c r="L45" s="749"/>
      <c r="M45" s="747"/>
    </row>
    <row r="46" spans="1:13" ht="11.85" customHeight="1">
      <c r="A46" s="772"/>
      <c r="B46" s="773"/>
      <c r="C46" s="506" t="s">
        <v>1671</v>
      </c>
      <c r="D46" s="506" t="s">
        <v>1672</v>
      </c>
      <c r="E46" s="506" t="s">
        <v>1673</v>
      </c>
      <c r="F46" s="506" t="s">
        <v>1674</v>
      </c>
      <c r="G46" s="506" t="s">
        <v>1675</v>
      </c>
      <c r="H46" s="506" t="s">
        <v>1676</v>
      </c>
      <c r="I46" s="775"/>
      <c r="J46" s="776"/>
      <c r="K46" s="775"/>
      <c r="L46" s="777"/>
      <c r="M46" s="776"/>
    </row>
    <row r="47" spans="1:13" ht="11.1" customHeight="1">
      <c r="A47" s="778"/>
      <c r="B47" s="778"/>
      <c r="C47" s="778"/>
      <c r="D47" s="778"/>
      <c r="E47" s="778"/>
      <c r="F47" s="778"/>
      <c r="G47" s="778"/>
      <c r="H47" s="778"/>
      <c r="I47" s="778"/>
      <c r="J47" s="778"/>
      <c r="K47" s="778"/>
      <c r="L47" s="778"/>
      <c r="M47" s="778"/>
    </row>
    <row r="48" spans="1:13" ht="11.85" customHeight="1">
      <c r="A48" s="779" t="s">
        <v>1677</v>
      </c>
      <c r="B48" s="779"/>
      <c r="C48" s="779"/>
      <c r="D48" s="779"/>
      <c r="E48" s="779"/>
      <c r="F48" s="779"/>
      <c r="G48" s="779"/>
      <c r="H48" s="779"/>
      <c r="I48" s="779"/>
      <c r="J48" s="779"/>
      <c r="K48" s="779"/>
      <c r="L48" s="779"/>
    </row>
    <row r="49" spans="1:13" ht="11.85" customHeight="1">
      <c r="A49" s="740" t="s">
        <v>1405</v>
      </c>
      <c r="B49" s="740"/>
      <c r="C49" s="740"/>
      <c r="L49" s="741" t="s">
        <v>1678</v>
      </c>
      <c r="M49" s="741"/>
    </row>
    <row r="50" spans="1:13" ht="11.1" customHeight="1">
      <c r="A50" s="740" t="s">
        <v>882</v>
      </c>
      <c r="B50" s="740"/>
      <c r="C50" s="740"/>
    </row>
    <row r="51" spans="1:13" ht="11.85" customHeight="1">
      <c r="A51" s="742" t="s">
        <v>1407</v>
      </c>
      <c r="B51" s="742"/>
      <c r="C51" s="742"/>
    </row>
    <row r="52" spans="1:13" ht="11.85" customHeight="1">
      <c r="A52" s="740" t="s">
        <v>1310</v>
      </c>
      <c r="B52" s="740"/>
      <c r="C52" s="740"/>
    </row>
    <row r="53" spans="1:13" ht="11.85" customHeight="1">
      <c r="A53" s="740" t="s">
        <v>1408</v>
      </c>
      <c r="B53" s="740"/>
      <c r="C53" s="740"/>
    </row>
    <row r="54" spans="1:13" ht="5.85" customHeight="1"/>
    <row r="55" spans="1:13" ht="11.1" customHeight="1">
      <c r="A55" s="501" t="s">
        <v>1409</v>
      </c>
      <c r="B55" s="502"/>
      <c r="C55" s="502"/>
      <c r="D55" s="502"/>
      <c r="E55" s="502"/>
      <c r="F55" s="502"/>
      <c r="G55" s="502"/>
      <c r="H55" s="502"/>
      <c r="I55" s="502"/>
      <c r="J55" s="750" t="s">
        <v>1312</v>
      </c>
      <c r="K55" s="750"/>
      <c r="L55" s="750"/>
      <c r="M55" s="750"/>
    </row>
    <row r="56" spans="1:13" ht="11.85" customHeight="1">
      <c r="A56" s="751" t="s">
        <v>1410</v>
      </c>
      <c r="B56" s="752"/>
      <c r="C56" s="757" t="s">
        <v>1411</v>
      </c>
      <c r="D56" s="758"/>
      <c r="E56" s="758"/>
      <c r="F56" s="758"/>
      <c r="G56" s="758"/>
      <c r="H56" s="758"/>
      <c r="I56" s="758"/>
      <c r="J56" s="758"/>
      <c r="K56" s="758"/>
      <c r="L56" s="758"/>
      <c r="M56" s="759"/>
    </row>
    <row r="57" spans="1:13" ht="11.85" customHeight="1">
      <c r="A57" s="753"/>
      <c r="B57" s="754"/>
      <c r="C57" s="503" t="s">
        <v>1412</v>
      </c>
      <c r="D57" s="503" t="s">
        <v>1413</v>
      </c>
      <c r="E57" s="503" t="s">
        <v>1414</v>
      </c>
      <c r="F57" s="503" t="s">
        <v>1415</v>
      </c>
      <c r="G57" s="503" t="s">
        <v>1416</v>
      </c>
      <c r="H57" s="503" t="s">
        <v>1417</v>
      </c>
      <c r="I57" s="760" t="s">
        <v>1418</v>
      </c>
      <c r="J57" s="761"/>
      <c r="K57" s="760" t="s">
        <v>1419</v>
      </c>
      <c r="L57" s="764"/>
      <c r="M57" s="761"/>
    </row>
    <row r="58" spans="1:13" ht="11.85" customHeight="1">
      <c r="A58" s="755"/>
      <c r="B58" s="756"/>
      <c r="C58" s="503" t="s">
        <v>1420</v>
      </c>
      <c r="D58" s="503" t="s">
        <v>1421</v>
      </c>
      <c r="E58" s="503" t="s">
        <v>1422</v>
      </c>
      <c r="F58" s="503" t="s">
        <v>1423</v>
      </c>
      <c r="G58" s="503" t="s">
        <v>1424</v>
      </c>
      <c r="H58" s="503" t="s">
        <v>1425</v>
      </c>
      <c r="I58" s="762"/>
      <c r="J58" s="763"/>
      <c r="K58" s="762"/>
      <c r="L58" s="765"/>
      <c r="M58" s="763"/>
    </row>
    <row r="59" spans="1:13" ht="11.1" customHeight="1">
      <c r="A59" s="766" t="s">
        <v>1679</v>
      </c>
      <c r="B59" s="767"/>
      <c r="C59" s="504" t="s">
        <v>1680</v>
      </c>
      <c r="D59" s="504" t="s">
        <v>1681</v>
      </c>
      <c r="E59" s="504" t="s">
        <v>1682</v>
      </c>
      <c r="F59" s="504" t="s">
        <v>1683</v>
      </c>
      <c r="G59" s="504" t="s">
        <v>1684</v>
      </c>
      <c r="H59" s="504" t="s">
        <v>1685</v>
      </c>
      <c r="I59" s="768" t="s">
        <v>1686</v>
      </c>
      <c r="J59" s="769"/>
      <c r="K59" s="768" t="s">
        <v>1687</v>
      </c>
      <c r="L59" s="770"/>
      <c r="M59" s="769"/>
    </row>
    <row r="60" spans="1:13" ht="11.85" customHeight="1">
      <c r="A60" s="745"/>
      <c r="B60" s="744"/>
      <c r="C60" s="505" t="s">
        <v>1688</v>
      </c>
      <c r="D60" s="505" t="s">
        <v>1689</v>
      </c>
      <c r="E60" s="505" t="s">
        <v>1690</v>
      </c>
      <c r="F60" s="505" t="s">
        <v>1691</v>
      </c>
      <c r="G60" s="505" t="s">
        <v>1692</v>
      </c>
      <c r="H60" s="505" t="s">
        <v>1693</v>
      </c>
      <c r="I60" s="748"/>
      <c r="J60" s="747"/>
      <c r="K60" s="748"/>
      <c r="L60" s="749"/>
      <c r="M60" s="747"/>
    </row>
    <row r="61" spans="1:13" ht="11.85" customHeight="1">
      <c r="A61" s="743" t="s">
        <v>1694</v>
      </c>
      <c r="B61" s="744"/>
      <c r="C61" s="505" t="s">
        <v>895</v>
      </c>
      <c r="D61" s="505" t="s">
        <v>1695</v>
      </c>
      <c r="E61" s="505" t="s">
        <v>895</v>
      </c>
      <c r="F61" s="505" t="s">
        <v>895</v>
      </c>
      <c r="G61" s="505" t="s">
        <v>895</v>
      </c>
      <c r="H61" s="505" t="s">
        <v>895</v>
      </c>
      <c r="I61" s="746" t="s">
        <v>1695</v>
      </c>
      <c r="J61" s="747"/>
      <c r="K61" s="746" t="s">
        <v>1696</v>
      </c>
      <c r="L61" s="749"/>
      <c r="M61" s="747"/>
    </row>
    <row r="62" spans="1:13" ht="11.85" customHeight="1">
      <c r="A62" s="745"/>
      <c r="B62" s="744"/>
      <c r="C62" s="505" t="s">
        <v>895</v>
      </c>
      <c r="D62" s="505" t="s">
        <v>895</v>
      </c>
      <c r="E62" s="505" t="s">
        <v>895</v>
      </c>
      <c r="F62" s="505" t="s">
        <v>895</v>
      </c>
      <c r="G62" s="505" t="s">
        <v>895</v>
      </c>
      <c r="H62" s="505" t="s">
        <v>895</v>
      </c>
      <c r="I62" s="748"/>
      <c r="J62" s="747"/>
      <c r="K62" s="748"/>
      <c r="L62" s="749"/>
      <c r="M62" s="747"/>
    </row>
    <row r="63" spans="1:13" ht="11.1" customHeight="1">
      <c r="A63" s="743" t="s">
        <v>1697</v>
      </c>
      <c r="B63" s="744"/>
      <c r="C63" s="505" t="s">
        <v>1698</v>
      </c>
      <c r="D63" s="505" t="s">
        <v>1699</v>
      </c>
      <c r="E63" s="505" t="s">
        <v>1700</v>
      </c>
      <c r="F63" s="505" t="s">
        <v>1701</v>
      </c>
      <c r="G63" s="505" t="s">
        <v>1702</v>
      </c>
      <c r="H63" s="505" t="s">
        <v>1703</v>
      </c>
      <c r="I63" s="746" t="s">
        <v>1704</v>
      </c>
      <c r="J63" s="747"/>
      <c r="K63" s="746" t="s">
        <v>1705</v>
      </c>
      <c r="L63" s="749"/>
      <c r="M63" s="747"/>
    </row>
    <row r="64" spans="1:13" ht="11.85" customHeight="1">
      <c r="A64" s="745"/>
      <c r="B64" s="744"/>
      <c r="C64" s="505" t="s">
        <v>1706</v>
      </c>
      <c r="D64" s="505" t="s">
        <v>1707</v>
      </c>
      <c r="E64" s="505" t="s">
        <v>1708</v>
      </c>
      <c r="F64" s="505" t="s">
        <v>1709</v>
      </c>
      <c r="G64" s="505" t="s">
        <v>1710</v>
      </c>
      <c r="H64" s="505" t="s">
        <v>1711</v>
      </c>
      <c r="I64" s="748"/>
      <c r="J64" s="747"/>
      <c r="K64" s="748"/>
      <c r="L64" s="749"/>
      <c r="M64" s="747"/>
    </row>
    <row r="65" spans="1:13" ht="11.85" customHeight="1">
      <c r="A65" s="743" t="s">
        <v>1712</v>
      </c>
      <c r="B65" s="744"/>
      <c r="C65" s="505" t="s">
        <v>1713</v>
      </c>
      <c r="D65" s="505" t="s">
        <v>1714</v>
      </c>
      <c r="E65" s="505" t="s">
        <v>1715</v>
      </c>
      <c r="F65" s="505" t="s">
        <v>1716</v>
      </c>
      <c r="G65" s="505" t="s">
        <v>1717</v>
      </c>
      <c r="H65" s="505" t="s">
        <v>1718</v>
      </c>
      <c r="I65" s="746" t="s">
        <v>1719</v>
      </c>
      <c r="J65" s="747"/>
      <c r="K65" s="746" t="s">
        <v>1720</v>
      </c>
      <c r="L65" s="749"/>
      <c r="M65" s="747"/>
    </row>
    <row r="66" spans="1:13" ht="11.85" customHeight="1">
      <c r="A66" s="745"/>
      <c r="B66" s="744"/>
      <c r="C66" s="505" t="s">
        <v>1721</v>
      </c>
      <c r="D66" s="505" t="s">
        <v>1722</v>
      </c>
      <c r="E66" s="505" t="s">
        <v>1723</v>
      </c>
      <c r="F66" s="505" t="s">
        <v>1724</v>
      </c>
      <c r="G66" s="505" t="s">
        <v>1725</v>
      </c>
      <c r="H66" s="505" t="s">
        <v>1726</v>
      </c>
      <c r="I66" s="748"/>
      <c r="J66" s="747"/>
      <c r="K66" s="748"/>
      <c r="L66" s="749"/>
      <c r="M66" s="747"/>
    </row>
    <row r="67" spans="1:13" ht="11.1" customHeight="1">
      <c r="A67" s="743" t="s">
        <v>1727</v>
      </c>
      <c r="B67" s="744"/>
      <c r="C67" s="505" t="s">
        <v>1728</v>
      </c>
      <c r="D67" s="505" t="s">
        <v>1729</v>
      </c>
      <c r="E67" s="505" t="s">
        <v>1730</v>
      </c>
      <c r="F67" s="505" t="s">
        <v>1731</v>
      </c>
      <c r="G67" s="505" t="s">
        <v>1732</v>
      </c>
      <c r="H67" s="505" t="s">
        <v>1733</v>
      </c>
      <c r="I67" s="746" t="s">
        <v>1734</v>
      </c>
      <c r="J67" s="747"/>
      <c r="K67" s="746" t="s">
        <v>1735</v>
      </c>
      <c r="L67" s="749"/>
      <c r="M67" s="747"/>
    </row>
    <row r="68" spans="1:13" ht="11.85" customHeight="1">
      <c r="A68" s="745"/>
      <c r="B68" s="744"/>
      <c r="C68" s="505" t="s">
        <v>1736</v>
      </c>
      <c r="D68" s="505" t="s">
        <v>1737</v>
      </c>
      <c r="E68" s="505" t="s">
        <v>1738</v>
      </c>
      <c r="F68" s="505" t="s">
        <v>1739</v>
      </c>
      <c r="G68" s="505" t="s">
        <v>1740</v>
      </c>
      <c r="H68" s="505" t="s">
        <v>1741</v>
      </c>
      <c r="I68" s="748"/>
      <c r="J68" s="747"/>
      <c r="K68" s="748"/>
      <c r="L68" s="749"/>
      <c r="M68" s="747"/>
    </row>
    <row r="69" spans="1:13" ht="11.85" customHeight="1">
      <c r="A69" s="743" t="s">
        <v>1742</v>
      </c>
      <c r="B69" s="744"/>
      <c r="C69" s="505" t="s">
        <v>1743</v>
      </c>
      <c r="D69" s="505" t="s">
        <v>1744</v>
      </c>
      <c r="E69" s="505" t="s">
        <v>1745</v>
      </c>
      <c r="F69" s="505" t="s">
        <v>1746</v>
      </c>
      <c r="G69" s="505" t="s">
        <v>1747</v>
      </c>
      <c r="H69" s="505" t="s">
        <v>1748</v>
      </c>
      <c r="I69" s="746" t="s">
        <v>1749</v>
      </c>
      <c r="J69" s="747"/>
      <c r="K69" s="746" t="s">
        <v>1750</v>
      </c>
      <c r="L69" s="749"/>
      <c r="M69" s="747"/>
    </row>
    <row r="70" spans="1:13" ht="11.85" customHeight="1">
      <c r="A70" s="745"/>
      <c r="B70" s="744"/>
      <c r="C70" s="505" t="s">
        <v>1751</v>
      </c>
      <c r="D70" s="505" t="s">
        <v>1752</v>
      </c>
      <c r="E70" s="505" t="s">
        <v>1753</v>
      </c>
      <c r="F70" s="505" t="s">
        <v>1754</v>
      </c>
      <c r="G70" s="505" t="s">
        <v>1755</v>
      </c>
      <c r="H70" s="505" t="s">
        <v>1756</v>
      </c>
      <c r="I70" s="748"/>
      <c r="J70" s="747"/>
      <c r="K70" s="748"/>
      <c r="L70" s="749"/>
      <c r="M70" s="747"/>
    </row>
    <row r="71" spans="1:13" ht="11.1" customHeight="1">
      <c r="A71" s="743" t="s">
        <v>1757</v>
      </c>
      <c r="B71" s="744"/>
      <c r="C71" s="505" t="s">
        <v>1758</v>
      </c>
      <c r="D71" s="505" t="s">
        <v>1759</v>
      </c>
      <c r="E71" s="505" t="s">
        <v>1760</v>
      </c>
      <c r="F71" s="505" t="s">
        <v>1761</v>
      </c>
      <c r="G71" s="505" t="s">
        <v>1762</v>
      </c>
      <c r="H71" s="505" t="s">
        <v>1763</v>
      </c>
      <c r="I71" s="746" t="s">
        <v>1764</v>
      </c>
      <c r="J71" s="747"/>
      <c r="K71" s="746" t="s">
        <v>1765</v>
      </c>
      <c r="L71" s="749"/>
      <c r="M71" s="747"/>
    </row>
    <row r="72" spans="1:13" ht="11.85" customHeight="1">
      <c r="A72" s="745"/>
      <c r="B72" s="744"/>
      <c r="C72" s="505" t="s">
        <v>1766</v>
      </c>
      <c r="D72" s="505" t="s">
        <v>1767</v>
      </c>
      <c r="E72" s="505" t="s">
        <v>1768</v>
      </c>
      <c r="F72" s="505" t="s">
        <v>1769</v>
      </c>
      <c r="G72" s="505" t="s">
        <v>1770</v>
      </c>
      <c r="H72" s="505" t="s">
        <v>1771</v>
      </c>
      <c r="I72" s="748"/>
      <c r="J72" s="747"/>
      <c r="K72" s="748"/>
      <c r="L72" s="749"/>
      <c r="M72" s="747"/>
    </row>
    <row r="73" spans="1:13" ht="11.85" customHeight="1">
      <c r="A73" s="743" t="s">
        <v>1772</v>
      </c>
      <c r="B73" s="744"/>
      <c r="C73" s="505" t="s">
        <v>1773</v>
      </c>
      <c r="D73" s="505" t="s">
        <v>1774</v>
      </c>
      <c r="E73" s="505" t="s">
        <v>1775</v>
      </c>
      <c r="F73" s="505" t="s">
        <v>1776</v>
      </c>
      <c r="G73" s="505" t="s">
        <v>1777</v>
      </c>
      <c r="H73" s="505" t="s">
        <v>1778</v>
      </c>
      <c r="I73" s="746" t="s">
        <v>1779</v>
      </c>
      <c r="J73" s="747"/>
      <c r="K73" s="746" t="s">
        <v>1780</v>
      </c>
      <c r="L73" s="749"/>
      <c r="M73" s="747"/>
    </row>
    <row r="74" spans="1:13" ht="11.85" customHeight="1">
      <c r="A74" s="745"/>
      <c r="B74" s="744"/>
      <c r="C74" s="505" t="s">
        <v>1781</v>
      </c>
      <c r="D74" s="505" t="s">
        <v>1782</v>
      </c>
      <c r="E74" s="505" t="s">
        <v>1783</v>
      </c>
      <c r="F74" s="505" t="s">
        <v>1784</v>
      </c>
      <c r="G74" s="505" t="s">
        <v>1785</v>
      </c>
      <c r="H74" s="505" t="s">
        <v>1786</v>
      </c>
      <c r="I74" s="748"/>
      <c r="J74" s="747"/>
      <c r="K74" s="748"/>
      <c r="L74" s="749"/>
      <c r="M74" s="747"/>
    </row>
    <row r="75" spans="1:13" ht="11.1" customHeight="1">
      <c r="A75" s="743" t="s">
        <v>1787</v>
      </c>
      <c r="B75" s="744"/>
      <c r="C75" s="505" t="s">
        <v>1788</v>
      </c>
      <c r="D75" s="505" t="s">
        <v>1789</v>
      </c>
      <c r="E75" s="505" t="s">
        <v>1790</v>
      </c>
      <c r="F75" s="505" t="s">
        <v>1790</v>
      </c>
      <c r="G75" s="505" t="s">
        <v>1791</v>
      </c>
      <c r="H75" s="505" t="s">
        <v>1791</v>
      </c>
      <c r="I75" s="746" t="s">
        <v>1792</v>
      </c>
      <c r="J75" s="747"/>
      <c r="K75" s="746" t="s">
        <v>1793</v>
      </c>
      <c r="L75" s="749"/>
      <c r="M75" s="747"/>
    </row>
    <row r="76" spans="1:13" ht="11.85" customHeight="1">
      <c r="A76" s="745"/>
      <c r="B76" s="744"/>
      <c r="C76" s="505" t="s">
        <v>1794</v>
      </c>
      <c r="D76" s="505" t="s">
        <v>1795</v>
      </c>
      <c r="E76" s="505" t="s">
        <v>1796</v>
      </c>
      <c r="F76" s="505" t="s">
        <v>1797</v>
      </c>
      <c r="G76" s="505" t="s">
        <v>1797</v>
      </c>
      <c r="H76" s="505" t="s">
        <v>1797</v>
      </c>
      <c r="I76" s="748"/>
      <c r="J76" s="747"/>
      <c r="K76" s="748"/>
      <c r="L76" s="749"/>
      <c r="M76" s="747"/>
    </row>
    <row r="77" spans="1:13" ht="11.85" customHeight="1">
      <c r="A77" s="771" t="s">
        <v>1798</v>
      </c>
      <c r="B77" s="744"/>
      <c r="C77" s="505" t="s">
        <v>1799</v>
      </c>
      <c r="D77" s="505" t="s">
        <v>1800</v>
      </c>
      <c r="E77" s="505" t="s">
        <v>1801</v>
      </c>
      <c r="F77" s="505" t="s">
        <v>1802</v>
      </c>
      <c r="G77" s="505" t="s">
        <v>1803</v>
      </c>
      <c r="H77" s="505" t="s">
        <v>1804</v>
      </c>
      <c r="I77" s="774" t="s">
        <v>1805</v>
      </c>
      <c r="J77" s="747"/>
      <c r="K77" s="774" t="s">
        <v>1806</v>
      </c>
      <c r="L77" s="749"/>
      <c r="M77" s="747"/>
    </row>
    <row r="78" spans="1:13" ht="11.85" customHeight="1">
      <c r="A78" s="772"/>
      <c r="B78" s="773"/>
      <c r="C78" s="506" t="s">
        <v>1807</v>
      </c>
      <c r="D78" s="506" t="s">
        <v>1808</v>
      </c>
      <c r="E78" s="506" t="s">
        <v>1809</v>
      </c>
      <c r="F78" s="506" t="s">
        <v>1810</v>
      </c>
      <c r="G78" s="506" t="s">
        <v>1811</v>
      </c>
      <c r="H78" s="506" t="s">
        <v>1812</v>
      </c>
      <c r="I78" s="775"/>
      <c r="J78" s="776"/>
      <c r="K78" s="775"/>
      <c r="L78" s="777"/>
      <c r="M78" s="776"/>
    </row>
    <row r="79" spans="1:13" ht="11.85" customHeight="1">
      <c r="A79" s="780" t="s">
        <v>1813</v>
      </c>
      <c r="B79" s="781"/>
      <c r="C79" s="507" t="s">
        <v>1814</v>
      </c>
      <c r="D79" s="507" t="s">
        <v>1815</v>
      </c>
      <c r="E79" s="507" t="s">
        <v>1816</v>
      </c>
      <c r="F79" s="507" t="s">
        <v>1817</v>
      </c>
      <c r="G79" s="507" t="s">
        <v>1818</v>
      </c>
      <c r="H79" s="507" t="s">
        <v>1819</v>
      </c>
      <c r="I79" s="784" t="s">
        <v>1820</v>
      </c>
      <c r="J79" s="785"/>
      <c r="K79" s="784" t="s">
        <v>1821</v>
      </c>
      <c r="L79" s="788"/>
      <c r="M79" s="785"/>
    </row>
    <row r="80" spans="1:13" ht="11.1" customHeight="1">
      <c r="A80" s="782"/>
      <c r="B80" s="783"/>
      <c r="C80" s="508" t="s">
        <v>1822</v>
      </c>
      <c r="D80" s="508" t="s">
        <v>1823</v>
      </c>
      <c r="E80" s="508" t="s">
        <v>1824</v>
      </c>
      <c r="F80" s="508" t="s">
        <v>1825</v>
      </c>
      <c r="G80" s="508" t="s">
        <v>1826</v>
      </c>
      <c r="H80" s="508" t="s">
        <v>1827</v>
      </c>
      <c r="I80" s="786"/>
      <c r="J80" s="787"/>
      <c r="K80" s="786"/>
      <c r="L80" s="789"/>
      <c r="M80" s="787"/>
    </row>
    <row r="81" spans="1:13" ht="11.85" customHeight="1">
      <c r="A81" s="790" t="s">
        <v>1828</v>
      </c>
      <c r="B81" s="791"/>
      <c r="C81" s="509" t="s">
        <v>895</v>
      </c>
      <c r="D81" s="509" t="s">
        <v>895</v>
      </c>
      <c r="E81" s="509" t="s">
        <v>895</v>
      </c>
      <c r="F81" s="509" t="s">
        <v>895</v>
      </c>
      <c r="G81" s="509" t="s">
        <v>895</v>
      </c>
      <c r="H81" s="509" t="s">
        <v>895</v>
      </c>
      <c r="I81" s="794" t="s">
        <v>895</v>
      </c>
      <c r="J81" s="795"/>
      <c r="K81" s="794" t="s">
        <v>895</v>
      </c>
      <c r="L81" s="798"/>
      <c r="M81" s="795"/>
    </row>
    <row r="82" spans="1:13" ht="11.85" customHeight="1">
      <c r="A82" s="792"/>
      <c r="B82" s="793"/>
      <c r="C82" s="510" t="s">
        <v>895</v>
      </c>
      <c r="D82" s="510" t="s">
        <v>895</v>
      </c>
      <c r="E82" s="510" t="s">
        <v>895</v>
      </c>
      <c r="F82" s="510" t="s">
        <v>895</v>
      </c>
      <c r="G82" s="510" t="s">
        <v>895</v>
      </c>
      <c r="H82" s="510" t="s">
        <v>895</v>
      </c>
      <c r="I82" s="796"/>
      <c r="J82" s="797"/>
      <c r="K82" s="796"/>
      <c r="L82" s="799"/>
      <c r="M82" s="797"/>
    </row>
    <row r="83" spans="1:13" ht="11.85" customHeight="1">
      <c r="A83" s="800" t="s">
        <v>1829</v>
      </c>
      <c r="B83" s="801"/>
      <c r="C83" s="507" t="s">
        <v>1814</v>
      </c>
      <c r="D83" s="507" t="s">
        <v>1815</v>
      </c>
      <c r="E83" s="507" t="s">
        <v>1816</v>
      </c>
      <c r="F83" s="507" t="s">
        <v>1817</v>
      </c>
      <c r="G83" s="507" t="s">
        <v>1818</v>
      </c>
      <c r="H83" s="507" t="s">
        <v>1819</v>
      </c>
      <c r="I83" s="784" t="s">
        <v>1820</v>
      </c>
      <c r="J83" s="785"/>
      <c r="K83" s="784" t="s">
        <v>1821</v>
      </c>
      <c r="L83" s="788"/>
      <c r="M83" s="785"/>
    </row>
    <row r="84" spans="1:13" ht="11.1" customHeight="1">
      <c r="A84" s="802"/>
      <c r="B84" s="803"/>
      <c r="C84" s="508" t="s">
        <v>1822</v>
      </c>
      <c r="D84" s="508" t="s">
        <v>1823</v>
      </c>
      <c r="E84" s="508" t="s">
        <v>1824</v>
      </c>
      <c r="F84" s="508" t="s">
        <v>1825</v>
      </c>
      <c r="G84" s="508" t="s">
        <v>1826</v>
      </c>
      <c r="H84" s="508" t="s">
        <v>1827</v>
      </c>
      <c r="I84" s="786"/>
      <c r="J84" s="787"/>
      <c r="K84" s="786"/>
      <c r="L84" s="789"/>
      <c r="M84" s="787"/>
    </row>
    <row r="85" spans="1:13" ht="11.85" customHeight="1">
      <c r="A85" s="790" t="s">
        <v>1830</v>
      </c>
      <c r="B85" s="791"/>
      <c r="C85" s="509" t="s">
        <v>895</v>
      </c>
      <c r="D85" s="509" t="s">
        <v>895</v>
      </c>
      <c r="E85" s="509" t="s">
        <v>895</v>
      </c>
      <c r="F85" s="509" t="s">
        <v>895</v>
      </c>
      <c r="G85" s="509" t="s">
        <v>895</v>
      </c>
      <c r="H85" s="509" t="s">
        <v>895</v>
      </c>
      <c r="I85" s="794" t="s">
        <v>1831</v>
      </c>
      <c r="J85" s="795"/>
      <c r="K85" s="794" t="s">
        <v>895</v>
      </c>
      <c r="L85" s="798"/>
      <c r="M85" s="795"/>
    </row>
    <row r="86" spans="1:13" ht="11.85" customHeight="1">
      <c r="A86" s="792"/>
      <c r="B86" s="793"/>
      <c r="C86" s="510" t="s">
        <v>895</v>
      </c>
      <c r="D86" s="510" t="s">
        <v>895</v>
      </c>
      <c r="E86" s="510" t="s">
        <v>895</v>
      </c>
      <c r="F86" s="510" t="s">
        <v>1831</v>
      </c>
      <c r="G86" s="510" t="s">
        <v>895</v>
      </c>
      <c r="H86" s="510" t="s">
        <v>895</v>
      </c>
      <c r="I86" s="796"/>
      <c r="J86" s="797"/>
      <c r="K86" s="796"/>
      <c r="L86" s="799"/>
      <c r="M86" s="797"/>
    </row>
    <row r="87" spans="1:13" ht="11.85" customHeight="1">
      <c r="A87" s="800" t="s">
        <v>1832</v>
      </c>
      <c r="B87" s="801"/>
      <c r="C87" s="507" t="s">
        <v>1814</v>
      </c>
      <c r="D87" s="507" t="s">
        <v>1815</v>
      </c>
      <c r="E87" s="507" t="s">
        <v>1816</v>
      </c>
      <c r="F87" s="507" t="s">
        <v>1817</v>
      </c>
      <c r="G87" s="507" t="s">
        <v>1818</v>
      </c>
      <c r="H87" s="507" t="s">
        <v>1819</v>
      </c>
      <c r="I87" s="784" t="s">
        <v>1833</v>
      </c>
      <c r="J87" s="785"/>
      <c r="K87" s="784" t="s">
        <v>1821</v>
      </c>
      <c r="L87" s="788"/>
      <c r="M87" s="785"/>
    </row>
    <row r="88" spans="1:13" ht="11.1" customHeight="1">
      <c r="A88" s="802"/>
      <c r="B88" s="803"/>
      <c r="C88" s="508" t="s">
        <v>1822</v>
      </c>
      <c r="D88" s="508" t="s">
        <v>1823</v>
      </c>
      <c r="E88" s="508" t="s">
        <v>1824</v>
      </c>
      <c r="F88" s="508" t="s">
        <v>1834</v>
      </c>
      <c r="G88" s="508" t="s">
        <v>1826</v>
      </c>
      <c r="H88" s="508" t="s">
        <v>1827</v>
      </c>
      <c r="I88" s="786"/>
      <c r="J88" s="787"/>
      <c r="K88" s="786"/>
      <c r="L88" s="789"/>
      <c r="M88" s="787"/>
    </row>
    <row r="89" spans="1:13" ht="11.85" customHeight="1">
      <c r="A89" s="511"/>
      <c r="B89" s="511"/>
      <c r="C89" s="511"/>
      <c r="D89" s="511"/>
      <c r="E89" s="511"/>
      <c r="F89" s="511"/>
      <c r="G89" s="511"/>
      <c r="H89" s="511"/>
      <c r="I89" s="511"/>
      <c r="J89" s="511"/>
      <c r="K89" s="511"/>
      <c r="L89" s="511"/>
      <c r="M89" s="511"/>
    </row>
    <row r="90" spans="1:13" ht="5.85" customHeight="1"/>
    <row r="91" spans="1:13" ht="11.85" customHeight="1"/>
    <row r="92" spans="1:13" ht="5.85" customHeight="1"/>
    <row r="93" spans="1:13" ht="11.1" customHeight="1"/>
    <row r="94" spans="1:13" ht="11.85" customHeight="1"/>
    <row r="95" spans="1:13" ht="22.9" customHeight="1"/>
    <row r="96" spans="1:13" ht="11.85" customHeight="1">
      <c r="A96" s="779" t="s">
        <v>1677</v>
      </c>
      <c r="B96" s="779"/>
      <c r="C96" s="779"/>
      <c r="D96" s="779"/>
      <c r="E96" s="779"/>
      <c r="F96" s="779"/>
      <c r="G96" s="779"/>
      <c r="H96" s="779"/>
      <c r="I96" s="779"/>
      <c r="J96" s="779"/>
      <c r="K96" s="779"/>
      <c r="L96" s="779"/>
    </row>
  </sheetData>
  <mergeCells count="124">
    <mergeCell ref="A87:B88"/>
    <mergeCell ref="I87:J88"/>
    <mergeCell ref="K87:M88"/>
    <mergeCell ref="A96:L96"/>
    <mergeCell ref="A83:B84"/>
    <mergeCell ref="I83:J84"/>
    <mergeCell ref="K83:M84"/>
    <mergeCell ref="A85:B86"/>
    <mergeCell ref="I85:J86"/>
    <mergeCell ref="K85:M86"/>
    <mergeCell ref="A79:B80"/>
    <mergeCell ref="I79:J80"/>
    <mergeCell ref="K79:M80"/>
    <mergeCell ref="A81:B82"/>
    <mergeCell ref="I81:J82"/>
    <mergeCell ref="K81:M82"/>
    <mergeCell ref="A75:B76"/>
    <mergeCell ref="I75:J76"/>
    <mergeCell ref="K75:M76"/>
    <mergeCell ref="A77:B78"/>
    <mergeCell ref="I77:J78"/>
    <mergeCell ref="K77:M78"/>
    <mergeCell ref="A71:B72"/>
    <mergeCell ref="I71:J72"/>
    <mergeCell ref="K71:M72"/>
    <mergeCell ref="A73:B74"/>
    <mergeCell ref="I73:J74"/>
    <mergeCell ref="K73:M74"/>
    <mergeCell ref="A67:B68"/>
    <mergeCell ref="I67:J68"/>
    <mergeCell ref="K67:M68"/>
    <mergeCell ref="A69:B70"/>
    <mergeCell ref="I69:J70"/>
    <mergeCell ref="K69:M70"/>
    <mergeCell ref="A63:B64"/>
    <mergeCell ref="I63:J64"/>
    <mergeCell ref="K63:M64"/>
    <mergeCell ref="A65:B66"/>
    <mergeCell ref="I65:J66"/>
    <mergeCell ref="K65:M66"/>
    <mergeCell ref="A59:B60"/>
    <mergeCell ref="I59:J60"/>
    <mergeCell ref="K59:M60"/>
    <mergeCell ref="A61:B62"/>
    <mergeCell ref="I61:J62"/>
    <mergeCell ref="K61:M62"/>
    <mergeCell ref="A50:C50"/>
    <mergeCell ref="A51:C51"/>
    <mergeCell ref="A52:C52"/>
    <mergeCell ref="A53:C53"/>
    <mergeCell ref="J55:M55"/>
    <mergeCell ref="A56:B58"/>
    <mergeCell ref="C56:M56"/>
    <mergeCell ref="I57:J58"/>
    <mergeCell ref="K57:M58"/>
    <mergeCell ref="A45:B46"/>
    <mergeCell ref="I45:J46"/>
    <mergeCell ref="K45:M46"/>
    <mergeCell ref="A47:M47"/>
    <mergeCell ref="A48:L48"/>
    <mergeCell ref="A49:C49"/>
    <mergeCell ref="L49:M49"/>
    <mergeCell ref="A41:B42"/>
    <mergeCell ref="I41:J42"/>
    <mergeCell ref="K41:M42"/>
    <mergeCell ref="A43:B44"/>
    <mergeCell ref="I43:J44"/>
    <mergeCell ref="K43:M44"/>
    <mergeCell ref="A37:B38"/>
    <mergeCell ref="I37:J38"/>
    <mergeCell ref="K37:M38"/>
    <mergeCell ref="A39:B40"/>
    <mergeCell ref="I39:J40"/>
    <mergeCell ref="K39:M40"/>
    <mergeCell ref="A33:B34"/>
    <mergeCell ref="I33:J34"/>
    <mergeCell ref="K33:M34"/>
    <mergeCell ref="A35:B36"/>
    <mergeCell ref="I35:J36"/>
    <mergeCell ref="K35:M36"/>
    <mergeCell ref="A29:B30"/>
    <mergeCell ref="I29:J30"/>
    <mergeCell ref="K29:M30"/>
    <mergeCell ref="A31:B32"/>
    <mergeCell ref="I31:J32"/>
    <mergeCell ref="K31:M32"/>
    <mergeCell ref="A25:B26"/>
    <mergeCell ref="I25:J26"/>
    <mergeCell ref="K25:M26"/>
    <mergeCell ref="A27:B28"/>
    <mergeCell ref="I27:J28"/>
    <mergeCell ref="K27:M28"/>
    <mergeCell ref="A21:B22"/>
    <mergeCell ref="I21:J22"/>
    <mergeCell ref="K21:M22"/>
    <mergeCell ref="A23:B24"/>
    <mergeCell ref="I23:J24"/>
    <mergeCell ref="K23:M24"/>
    <mergeCell ref="A17:B18"/>
    <mergeCell ref="I17:J18"/>
    <mergeCell ref="K17:M18"/>
    <mergeCell ref="A19:B20"/>
    <mergeCell ref="I19:J20"/>
    <mergeCell ref="K19:M20"/>
    <mergeCell ref="A15:B16"/>
    <mergeCell ref="I15:J16"/>
    <mergeCell ref="K15:M16"/>
    <mergeCell ref="J7:M7"/>
    <mergeCell ref="A8:B10"/>
    <mergeCell ref="C8:M8"/>
    <mergeCell ref="I9:J10"/>
    <mergeCell ref="K9:M10"/>
    <mergeCell ref="A11:B12"/>
    <mergeCell ref="I11:J12"/>
    <mergeCell ref="K11:M12"/>
    <mergeCell ref="A1:C1"/>
    <mergeCell ref="L1:M1"/>
    <mergeCell ref="A2:C2"/>
    <mergeCell ref="A3:C3"/>
    <mergeCell ref="A4:C4"/>
    <mergeCell ref="A5:C5"/>
    <mergeCell ref="A13:B14"/>
    <mergeCell ref="I13:J14"/>
    <mergeCell ref="K13:M14"/>
  </mergeCells>
  <pageMargins left="0.511811024" right="0.511811024" top="0.78740157499999996" bottom="0.78740157499999996" header="0.31496062000000002" footer="0.3149606200000000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178"/>
  <sheetViews>
    <sheetView topLeftCell="A108" workbookViewId="0">
      <selection activeCell="AB150" sqref="AB150"/>
    </sheetView>
  </sheetViews>
  <sheetFormatPr defaultRowHeight="15"/>
  <cols>
    <col min="1" max="1" width="59" customWidth="1"/>
    <col min="2" max="2" width="13.140625" customWidth="1"/>
    <col min="3" max="3" width="4.140625" customWidth="1"/>
    <col min="4" max="4" width="8.140625" customWidth="1"/>
    <col min="5" max="5" width="5" customWidth="1"/>
    <col min="6" max="6" width="13.28515625" customWidth="1"/>
    <col min="7" max="7" width="8.140625" customWidth="1"/>
    <col min="8" max="8" width="1" customWidth="1"/>
    <col min="9" max="9" width="4" customWidth="1"/>
    <col min="10" max="10" width="4.140625" customWidth="1"/>
    <col min="11" max="11" width="4" customWidth="1"/>
    <col min="12" max="12" width="11.140625" customWidth="1"/>
    <col min="13" max="13" width="0.5703125" customWidth="1"/>
  </cols>
  <sheetData>
    <row r="1" spans="1:13" ht="11.85" customHeight="1">
      <c r="A1" s="740" t="s">
        <v>1405</v>
      </c>
      <c r="B1" s="740"/>
      <c r="L1" s="512" t="s">
        <v>1835</v>
      </c>
    </row>
    <row r="2" spans="1:13" ht="11.1" customHeight="1">
      <c r="A2" s="740" t="s">
        <v>1836</v>
      </c>
      <c r="B2" s="740"/>
    </row>
    <row r="3" spans="1:13" ht="11.85" customHeight="1">
      <c r="A3" s="742" t="s">
        <v>1837</v>
      </c>
      <c r="B3" s="742"/>
      <c r="C3" s="742"/>
      <c r="D3" s="742"/>
      <c r="E3" s="742"/>
      <c r="F3" s="742"/>
      <c r="G3" s="742"/>
      <c r="H3" s="742"/>
    </row>
    <row r="4" spans="1:13" ht="11.85" customHeight="1">
      <c r="A4" s="740" t="s">
        <v>1838</v>
      </c>
      <c r="B4" s="740"/>
    </row>
    <row r="5" spans="1:13" ht="11.85" customHeight="1">
      <c r="A5" s="740" t="s">
        <v>885</v>
      </c>
      <c r="B5" s="740"/>
    </row>
    <row r="6" spans="1:13" ht="5.85" customHeight="1"/>
    <row r="7" spans="1:13" ht="11.1" customHeight="1">
      <c r="A7" s="810" t="s">
        <v>1839</v>
      </c>
      <c r="B7" s="810"/>
      <c r="C7" s="502"/>
      <c r="D7" s="502"/>
      <c r="E7" s="502"/>
      <c r="F7" s="502"/>
      <c r="G7" s="502"/>
      <c r="H7" s="750" t="s">
        <v>887</v>
      </c>
      <c r="I7" s="750"/>
      <c r="J7" s="750"/>
      <c r="K7" s="750"/>
      <c r="L7" s="750"/>
    </row>
    <row r="8" spans="1:13" ht="11.85" customHeight="1">
      <c r="A8" s="804" t="s">
        <v>1840</v>
      </c>
      <c r="B8" s="805"/>
      <c r="C8" s="805"/>
      <c r="D8" s="805"/>
      <c r="E8" s="805"/>
      <c r="F8" s="805"/>
      <c r="G8" s="805"/>
      <c r="H8" s="805"/>
      <c r="I8" s="805"/>
      <c r="J8" s="805"/>
      <c r="K8" s="805"/>
      <c r="L8" s="806"/>
      <c r="M8" s="513"/>
    </row>
    <row r="9" spans="1:13" ht="11.85" customHeight="1">
      <c r="A9" s="804" t="s">
        <v>1841</v>
      </c>
      <c r="B9" s="805"/>
      <c r="C9" s="805"/>
      <c r="D9" s="805"/>
      <c r="E9" s="805"/>
      <c r="F9" s="805"/>
      <c r="G9" s="805"/>
      <c r="H9" s="805"/>
      <c r="I9" s="805"/>
      <c r="J9" s="805"/>
      <c r="K9" s="805"/>
      <c r="L9" s="806"/>
      <c r="M9" s="513"/>
    </row>
    <row r="10" spans="1:13" ht="28.9" customHeight="1">
      <c r="A10" s="514" t="s">
        <v>1842</v>
      </c>
      <c r="B10" s="757" t="s">
        <v>1843</v>
      </c>
      <c r="C10" s="758"/>
      <c r="D10" s="759"/>
      <c r="E10" s="757" t="s">
        <v>1844</v>
      </c>
      <c r="F10" s="758"/>
      <c r="G10" s="758"/>
      <c r="H10" s="758"/>
      <c r="I10" s="758"/>
      <c r="J10" s="758"/>
      <c r="K10" s="758"/>
      <c r="L10" s="759"/>
      <c r="M10" s="513"/>
    </row>
    <row r="11" spans="1:13" ht="11.85" customHeight="1">
      <c r="A11" s="515" t="s">
        <v>1426</v>
      </c>
      <c r="B11" s="807" t="s">
        <v>1845</v>
      </c>
      <c r="C11" s="808"/>
      <c r="D11" s="809"/>
      <c r="E11" s="807" t="s">
        <v>1846</v>
      </c>
      <c r="F11" s="808"/>
      <c r="G11" s="808"/>
      <c r="H11" s="808"/>
      <c r="I11" s="808"/>
      <c r="J11" s="808"/>
      <c r="K11" s="808"/>
      <c r="L11" s="809"/>
      <c r="M11" s="513"/>
    </row>
    <row r="12" spans="1:13" ht="11.85" customHeight="1">
      <c r="A12" s="516" t="s">
        <v>1847</v>
      </c>
      <c r="B12" s="814" t="s">
        <v>1780</v>
      </c>
      <c r="C12" s="815"/>
      <c r="D12" s="816"/>
      <c r="E12" s="814" t="s">
        <v>1848</v>
      </c>
      <c r="F12" s="815"/>
      <c r="G12" s="815"/>
      <c r="H12" s="815"/>
      <c r="I12" s="815"/>
      <c r="J12" s="815"/>
      <c r="K12" s="815"/>
      <c r="L12" s="816"/>
      <c r="M12" s="513"/>
    </row>
    <row r="13" spans="1:13" ht="11.1" customHeight="1">
      <c r="A13" s="517" t="s">
        <v>1849</v>
      </c>
      <c r="B13" s="811" t="s">
        <v>1850</v>
      </c>
      <c r="C13" s="812"/>
      <c r="D13" s="813"/>
      <c r="E13" s="811" t="s">
        <v>1851</v>
      </c>
      <c r="F13" s="812"/>
      <c r="G13" s="812"/>
      <c r="H13" s="812"/>
      <c r="I13" s="812"/>
      <c r="J13" s="812"/>
      <c r="K13" s="812"/>
      <c r="L13" s="813"/>
      <c r="M13" s="513"/>
    </row>
    <row r="14" spans="1:13" ht="11.85" customHeight="1">
      <c r="A14" s="517" t="s">
        <v>1852</v>
      </c>
      <c r="B14" s="811" t="s">
        <v>1853</v>
      </c>
      <c r="C14" s="812"/>
      <c r="D14" s="813"/>
      <c r="E14" s="811" t="s">
        <v>1854</v>
      </c>
      <c r="F14" s="812"/>
      <c r="G14" s="812"/>
      <c r="H14" s="812"/>
      <c r="I14" s="812"/>
      <c r="J14" s="812"/>
      <c r="K14" s="812"/>
      <c r="L14" s="813"/>
      <c r="M14" s="513"/>
    </row>
    <row r="15" spans="1:13" ht="11.85" customHeight="1">
      <c r="A15" s="517" t="s">
        <v>1855</v>
      </c>
      <c r="B15" s="811" t="s">
        <v>1856</v>
      </c>
      <c r="C15" s="812"/>
      <c r="D15" s="813"/>
      <c r="E15" s="811" t="s">
        <v>1857</v>
      </c>
      <c r="F15" s="812"/>
      <c r="G15" s="812"/>
      <c r="H15" s="812"/>
      <c r="I15" s="812"/>
      <c r="J15" s="812"/>
      <c r="K15" s="812"/>
      <c r="L15" s="813"/>
      <c r="M15" s="513"/>
    </row>
    <row r="16" spans="1:13" ht="11.85" customHeight="1">
      <c r="A16" s="516" t="s">
        <v>1858</v>
      </c>
      <c r="B16" s="814" t="s">
        <v>1859</v>
      </c>
      <c r="C16" s="815"/>
      <c r="D16" s="816"/>
      <c r="E16" s="814" t="s">
        <v>1860</v>
      </c>
      <c r="F16" s="815"/>
      <c r="G16" s="815"/>
      <c r="H16" s="815"/>
      <c r="I16" s="815"/>
      <c r="J16" s="815"/>
      <c r="K16" s="815"/>
      <c r="L16" s="816"/>
      <c r="M16" s="513"/>
    </row>
    <row r="17" spans="1:13" ht="11.1" customHeight="1">
      <c r="A17" s="517" t="s">
        <v>1849</v>
      </c>
      <c r="B17" s="811" t="s">
        <v>1861</v>
      </c>
      <c r="C17" s="812"/>
      <c r="D17" s="813"/>
      <c r="E17" s="811" t="s">
        <v>1862</v>
      </c>
      <c r="F17" s="812"/>
      <c r="G17" s="812"/>
      <c r="H17" s="812"/>
      <c r="I17" s="812"/>
      <c r="J17" s="812"/>
      <c r="K17" s="812"/>
      <c r="L17" s="813"/>
      <c r="M17" s="513"/>
    </row>
    <row r="18" spans="1:13" ht="11.85" customHeight="1">
      <c r="A18" s="517" t="s">
        <v>1852</v>
      </c>
      <c r="B18" s="811" t="s">
        <v>1863</v>
      </c>
      <c r="C18" s="812"/>
      <c r="D18" s="813"/>
      <c r="E18" s="811" t="s">
        <v>1864</v>
      </c>
      <c r="F18" s="812"/>
      <c r="G18" s="812"/>
      <c r="H18" s="812"/>
      <c r="I18" s="812"/>
      <c r="J18" s="812"/>
      <c r="K18" s="812"/>
      <c r="L18" s="813"/>
      <c r="M18" s="513"/>
    </row>
    <row r="19" spans="1:13" ht="11.85" customHeight="1">
      <c r="A19" s="517" t="s">
        <v>1855</v>
      </c>
      <c r="B19" s="811" t="s">
        <v>1865</v>
      </c>
      <c r="C19" s="812"/>
      <c r="D19" s="813"/>
      <c r="E19" s="811" t="s">
        <v>1866</v>
      </c>
      <c r="F19" s="812"/>
      <c r="G19" s="812"/>
      <c r="H19" s="812"/>
      <c r="I19" s="812"/>
      <c r="J19" s="812"/>
      <c r="K19" s="812"/>
      <c r="L19" s="813"/>
      <c r="M19" s="513"/>
    </row>
    <row r="20" spans="1:13" ht="11.85" customHeight="1">
      <c r="A20" s="516" t="s">
        <v>1543</v>
      </c>
      <c r="B20" s="814" t="s">
        <v>1867</v>
      </c>
      <c r="C20" s="815"/>
      <c r="D20" s="816"/>
      <c r="E20" s="814" t="s">
        <v>1868</v>
      </c>
      <c r="F20" s="815"/>
      <c r="G20" s="815"/>
      <c r="H20" s="815"/>
      <c r="I20" s="815"/>
      <c r="J20" s="815"/>
      <c r="K20" s="815"/>
      <c r="L20" s="816"/>
      <c r="M20" s="513"/>
    </row>
    <row r="21" spans="1:13" ht="11.1" customHeight="1">
      <c r="A21" s="517" t="s">
        <v>1869</v>
      </c>
      <c r="B21" s="811" t="s">
        <v>895</v>
      </c>
      <c r="C21" s="812"/>
      <c r="D21" s="813"/>
      <c r="E21" s="811" t="s">
        <v>895</v>
      </c>
      <c r="F21" s="812"/>
      <c r="G21" s="812"/>
      <c r="H21" s="812"/>
      <c r="I21" s="812"/>
      <c r="J21" s="812"/>
      <c r="K21" s="812"/>
      <c r="L21" s="813"/>
      <c r="M21" s="513"/>
    </row>
    <row r="22" spans="1:13" ht="11.85" customHeight="1">
      <c r="A22" s="517" t="s">
        <v>1870</v>
      </c>
      <c r="B22" s="811" t="s">
        <v>1867</v>
      </c>
      <c r="C22" s="812"/>
      <c r="D22" s="813"/>
      <c r="E22" s="811" t="s">
        <v>1868</v>
      </c>
      <c r="F22" s="812"/>
      <c r="G22" s="812"/>
      <c r="H22" s="812"/>
      <c r="I22" s="812"/>
      <c r="J22" s="812"/>
      <c r="K22" s="812"/>
      <c r="L22" s="813"/>
      <c r="M22" s="513"/>
    </row>
    <row r="23" spans="1:13" ht="11.85" customHeight="1">
      <c r="A23" s="517" t="s">
        <v>1573</v>
      </c>
      <c r="B23" s="811" t="s">
        <v>895</v>
      </c>
      <c r="C23" s="812"/>
      <c r="D23" s="813"/>
      <c r="E23" s="811" t="s">
        <v>895</v>
      </c>
      <c r="F23" s="812"/>
      <c r="G23" s="812"/>
      <c r="H23" s="812"/>
      <c r="I23" s="812"/>
      <c r="J23" s="812"/>
      <c r="K23" s="812"/>
      <c r="L23" s="813"/>
      <c r="M23" s="513"/>
    </row>
    <row r="24" spans="1:13" ht="11.85" customHeight="1">
      <c r="A24" s="516" t="s">
        <v>1602</v>
      </c>
      <c r="B24" s="814" t="s">
        <v>895</v>
      </c>
      <c r="C24" s="815"/>
      <c r="D24" s="816"/>
      <c r="E24" s="814" t="s">
        <v>895</v>
      </c>
      <c r="F24" s="815"/>
      <c r="G24" s="815"/>
      <c r="H24" s="815"/>
      <c r="I24" s="815"/>
      <c r="J24" s="815"/>
      <c r="K24" s="815"/>
      <c r="L24" s="816"/>
      <c r="M24" s="513"/>
    </row>
    <row r="25" spans="1:13" ht="11.1" customHeight="1">
      <c r="A25" s="516" t="s">
        <v>1742</v>
      </c>
      <c r="B25" s="814" t="s">
        <v>1871</v>
      </c>
      <c r="C25" s="815"/>
      <c r="D25" s="816"/>
      <c r="E25" s="814" t="s">
        <v>1872</v>
      </c>
      <c r="F25" s="815"/>
      <c r="G25" s="815"/>
      <c r="H25" s="815"/>
      <c r="I25" s="815"/>
      <c r="J25" s="815"/>
      <c r="K25" s="815"/>
      <c r="L25" s="816"/>
      <c r="M25" s="513"/>
    </row>
    <row r="26" spans="1:13" ht="11.85" customHeight="1">
      <c r="A26" s="517" t="s">
        <v>1873</v>
      </c>
      <c r="B26" s="811" t="s">
        <v>1874</v>
      </c>
      <c r="C26" s="812"/>
      <c r="D26" s="813"/>
      <c r="E26" s="811" t="s">
        <v>1875</v>
      </c>
      <c r="F26" s="812"/>
      <c r="G26" s="812"/>
      <c r="H26" s="812"/>
      <c r="I26" s="812"/>
      <c r="J26" s="812"/>
      <c r="K26" s="812"/>
      <c r="L26" s="813"/>
      <c r="M26" s="513"/>
    </row>
    <row r="27" spans="1:13" ht="11.85" customHeight="1">
      <c r="A27" s="517" t="s">
        <v>1876</v>
      </c>
      <c r="B27" s="811" t="s">
        <v>1877</v>
      </c>
      <c r="C27" s="812"/>
      <c r="D27" s="813"/>
      <c r="E27" s="811" t="s">
        <v>1878</v>
      </c>
      <c r="F27" s="812"/>
      <c r="G27" s="812"/>
      <c r="H27" s="812"/>
      <c r="I27" s="812"/>
      <c r="J27" s="812"/>
      <c r="K27" s="812"/>
      <c r="L27" s="813"/>
      <c r="M27" s="513"/>
    </row>
    <row r="28" spans="1:13" ht="11.85" customHeight="1">
      <c r="A28" s="517" t="s">
        <v>1879</v>
      </c>
      <c r="B28" s="811" t="s">
        <v>1880</v>
      </c>
      <c r="C28" s="812"/>
      <c r="D28" s="813"/>
      <c r="E28" s="811" t="s">
        <v>895</v>
      </c>
      <c r="F28" s="812"/>
      <c r="G28" s="812"/>
      <c r="H28" s="812"/>
      <c r="I28" s="812"/>
      <c r="J28" s="812"/>
      <c r="K28" s="812"/>
      <c r="L28" s="813"/>
      <c r="M28" s="513"/>
    </row>
    <row r="29" spans="1:13" ht="11.1" customHeight="1">
      <c r="A29" s="517" t="s">
        <v>1881</v>
      </c>
      <c r="B29" s="814" t="s">
        <v>895</v>
      </c>
      <c r="C29" s="815"/>
      <c r="D29" s="816"/>
      <c r="E29" s="814" t="s">
        <v>895</v>
      </c>
      <c r="F29" s="815"/>
      <c r="G29" s="815"/>
      <c r="H29" s="815"/>
      <c r="I29" s="815"/>
      <c r="J29" s="815"/>
      <c r="K29" s="815"/>
      <c r="L29" s="816"/>
      <c r="M29" s="513"/>
    </row>
    <row r="30" spans="1:13" ht="11.85" customHeight="1">
      <c r="A30" s="517" t="s">
        <v>1882</v>
      </c>
      <c r="B30" s="811" t="s">
        <v>895</v>
      </c>
      <c r="C30" s="812"/>
      <c r="D30" s="813"/>
      <c r="E30" s="811" t="s">
        <v>895</v>
      </c>
      <c r="F30" s="812"/>
      <c r="G30" s="812"/>
      <c r="H30" s="812"/>
      <c r="I30" s="812"/>
      <c r="J30" s="812"/>
      <c r="K30" s="812"/>
      <c r="L30" s="813"/>
      <c r="M30" s="513"/>
    </row>
    <row r="31" spans="1:13" ht="11.85" customHeight="1">
      <c r="A31" s="517" t="s">
        <v>1883</v>
      </c>
      <c r="B31" s="811" t="s">
        <v>895</v>
      </c>
      <c r="C31" s="812"/>
      <c r="D31" s="813"/>
      <c r="E31" s="811" t="s">
        <v>895</v>
      </c>
      <c r="F31" s="812"/>
      <c r="G31" s="812"/>
      <c r="H31" s="812"/>
      <c r="I31" s="812"/>
      <c r="J31" s="812"/>
      <c r="K31" s="812"/>
      <c r="L31" s="813"/>
      <c r="M31" s="513"/>
    </row>
    <row r="32" spans="1:13" ht="11.85" customHeight="1">
      <c r="A32" s="518" t="s">
        <v>1884</v>
      </c>
      <c r="B32" s="823" t="s">
        <v>895</v>
      </c>
      <c r="C32" s="824"/>
      <c r="D32" s="825"/>
      <c r="E32" s="823" t="s">
        <v>895</v>
      </c>
      <c r="F32" s="824"/>
      <c r="G32" s="824"/>
      <c r="H32" s="824"/>
      <c r="I32" s="824"/>
      <c r="J32" s="824"/>
      <c r="K32" s="824"/>
      <c r="L32" s="825"/>
      <c r="M32" s="513"/>
    </row>
    <row r="33" spans="1:13" ht="11.1" customHeight="1">
      <c r="A33" s="519" t="s">
        <v>1885</v>
      </c>
      <c r="B33" s="820" t="s">
        <v>1886</v>
      </c>
      <c r="C33" s="821"/>
      <c r="D33" s="822"/>
      <c r="E33" s="820" t="s">
        <v>1887</v>
      </c>
      <c r="F33" s="821"/>
      <c r="G33" s="821"/>
      <c r="H33" s="821"/>
      <c r="I33" s="821"/>
      <c r="J33" s="821"/>
      <c r="K33" s="821"/>
      <c r="L33" s="822"/>
      <c r="M33" s="513"/>
    </row>
    <row r="34" spans="1:13" ht="11.85" customHeight="1">
      <c r="A34" s="520"/>
      <c r="B34" s="520"/>
      <c r="C34" s="520"/>
      <c r="D34" s="520"/>
      <c r="E34" s="520"/>
      <c r="F34" s="520"/>
      <c r="G34" s="520"/>
      <c r="H34" s="520"/>
      <c r="I34" s="520"/>
      <c r="J34" s="520"/>
      <c r="K34" s="520"/>
      <c r="L34" s="520"/>
    </row>
    <row r="35" spans="1:13" ht="5.85" customHeight="1">
      <c r="A35" s="511"/>
      <c r="B35" s="511"/>
      <c r="C35" s="511"/>
      <c r="D35" s="511"/>
      <c r="E35" s="511"/>
      <c r="F35" s="511"/>
      <c r="G35" s="511"/>
      <c r="H35" s="511"/>
      <c r="I35" s="511"/>
      <c r="J35" s="511"/>
      <c r="K35" s="511"/>
      <c r="L35" s="511"/>
    </row>
    <row r="36" spans="1:13" ht="11.85" customHeight="1">
      <c r="A36" s="826" t="s">
        <v>1913</v>
      </c>
      <c r="B36" s="826"/>
      <c r="C36" s="826"/>
      <c r="D36" s="826"/>
      <c r="E36" s="826"/>
      <c r="F36" s="826"/>
      <c r="G36" s="826"/>
      <c r="H36" s="826"/>
      <c r="I36" s="826"/>
      <c r="J36" s="826"/>
      <c r="K36" s="826"/>
      <c r="L36" s="826"/>
    </row>
    <row r="37" spans="1:13" ht="5.85" customHeight="1"/>
    <row r="38" spans="1:13" ht="5.85" customHeight="1"/>
    <row r="39" spans="1:13" ht="5.85" customHeight="1"/>
    <row r="40" spans="1:13" ht="5.85" customHeight="1"/>
    <row r="41" spans="1:13" ht="5.85" customHeight="1"/>
    <row r="42" spans="1:13" ht="5.85" customHeight="1"/>
    <row r="43" spans="1:13" s="406" customFormat="1" ht="5.85" customHeight="1"/>
    <row r="44" spans="1:13" s="406" customFormat="1" ht="5.85" customHeight="1"/>
    <row r="45" spans="1:13" s="406" customFormat="1" ht="5.85" customHeight="1"/>
    <row r="46" spans="1:13" s="406" customFormat="1" ht="5.85" customHeight="1"/>
    <row r="47" spans="1:13" s="406" customFormat="1" ht="5.85" customHeight="1"/>
    <row r="48" spans="1:13" ht="11.85" customHeight="1">
      <c r="A48" s="740" t="s">
        <v>1405</v>
      </c>
      <c r="B48" s="740"/>
      <c r="L48" s="512" t="s">
        <v>1914</v>
      </c>
    </row>
    <row r="49" spans="1:13" ht="11.1" customHeight="1">
      <c r="A49" s="740" t="s">
        <v>1836</v>
      </c>
      <c r="B49" s="740"/>
    </row>
    <row r="50" spans="1:13" ht="11.85" customHeight="1">
      <c r="A50" s="742" t="s">
        <v>1837</v>
      </c>
      <c r="B50" s="742"/>
      <c r="C50" s="742"/>
      <c r="D50" s="742"/>
      <c r="E50" s="742"/>
      <c r="F50" s="742"/>
      <c r="G50" s="742"/>
      <c r="H50" s="742"/>
    </row>
    <row r="51" spans="1:13" ht="11.85" customHeight="1">
      <c r="A51" s="740" t="s">
        <v>1838</v>
      </c>
      <c r="B51" s="740"/>
    </row>
    <row r="52" spans="1:13" ht="11.85" customHeight="1">
      <c r="A52" s="740" t="s">
        <v>885</v>
      </c>
      <c r="B52" s="740"/>
    </row>
    <row r="53" spans="1:13" ht="11.1" customHeight="1">
      <c r="A53" s="810" t="s">
        <v>1839</v>
      </c>
      <c r="B53" s="810"/>
      <c r="C53" s="502"/>
      <c r="D53" s="502"/>
      <c r="E53" s="502"/>
      <c r="F53" s="502"/>
      <c r="G53" s="502"/>
      <c r="H53" s="750" t="s">
        <v>887</v>
      </c>
      <c r="I53" s="750"/>
      <c r="J53" s="750"/>
      <c r="K53" s="750"/>
      <c r="L53" s="750"/>
    </row>
    <row r="54" spans="1:13" ht="34.700000000000003" customHeight="1">
      <c r="A54" s="514" t="s">
        <v>1888</v>
      </c>
      <c r="B54" s="757" t="s">
        <v>1889</v>
      </c>
      <c r="C54" s="759"/>
      <c r="D54" s="757" t="s">
        <v>1890</v>
      </c>
      <c r="E54" s="759"/>
      <c r="F54" s="521" t="s">
        <v>1891</v>
      </c>
      <c r="G54" s="757" t="s">
        <v>1892</v>
      </c>
      <c r="H54" s="758"/>
      <c r="I54" s="759"/>
      <c r="J54" s="757" t="s">
        <v>1893</v>
      </c>
      <c r="K54" s="758"/>
      <c r="L54" s="759"/>
      <c r="M54" s="513"/>
    </row>
    <row r="55" spans="1:13" ht="11.85" customHeight="1">
      <c r="A55" s="522" t="s">
        <v>1894</v>
      </c>
      <c r="B55" s="839" t="s">
        <v>1895</v>
      </c>
      <c r="C55" s="841"/>
      <c r="D55" s="839" t="s">
        <v>1896</v>
      </c>
      <c r="E55" s="841"/>
      <c r="F55" s="523" t="s">
        <v>1896</v>
      </c>
      <c r="G55" s="839" t="s">
        <v>1897</v>
      </c>
      <c r="H55" s="840"/>
      <c r="I55" s="841"/>
      <c r="J55" s="839" t="s">
        <v>895</v>
      </c>
      <c r="K55" s="840"/>
      <c r="L55" s="841"/>
      <c r="M55" s="524"/>
    </row>
    <row r="56" spans="1:13" ht="11.85" customHeight="1">
      <c r="A56" s="517" t="s">
        <v>1898</v>
      </c>
      <c r="B56" s="817" t="s">
        <v>1899</v>
      </c>
      <c r="C56" s="819"/>
      <c r="D56" s="817" t="s">
        <v>1900</v>
      </c>
      <c r="E56" s="819"/>
      <c r="F56" s="525" t="s">
        <v>1900</v>
      </c>
      <c r="G56" s="817" t="s">
        <v>1901</v>
      </c>
      <c r="H56" s="818"/>
      <c r="I56" s="819"/>
      <c r="J56" s="817" t="s">
        <v>895</v>
      </c>
      <c r="K56" s="818"/>
      <c r="L56" s="819"/>
      <c r="M56" s="524"/>
    </row>
    <row r="57" spans="1:13" ht="11.85" customHeight="1">
      <c r="A57" s="517" t="s">
        <v>1902</v>
      </c>
      <c r="B57" s="817" t="s">
        <v>1903</v>
      </c>
      <c r="C57" s="819"/>
      <c r="D57" s="817" t="s">
        <v>1904</v>
      </c>
      <c r="E57" s="819"/>
      <c r="F57" s="525" t="s">
        <v>1904</v>
      </c>
      <c r="G57" s="817" t="s">
        <v>1905</v>
      </c>
      <c r="H57" s="818"/>
      <c r="I57" s="819"/>
      <c r="J57" s="817" t="s">
        <v>895</v>
      </c>
      <c r="K57" s="818"/>
      <c r="L57" s="819"/>
      <c r="M57" s="524"/>
    </row>
    <row r="58" spans="1:13" ht="11.1" customHeight="1">
      <c r="A58" s="516" t="s">
        <v>1906</v>
      </c>
      <c r="B58" s="817" t="s">
        <v>895</v>
      </c>
      <c r="C58" s="819"/>
      <c r="D58" s="817" t="s">
        <v>895</v>
      </c>
      <c r="E58" s="819"/>
      <c r="F58" s="525" t="s">
        <v>895</v>
      </c>
      <c r="G58" s="817" t="s">
        <v>895</v>
      </c>
      <c r="H58" s="818"/>
      <c r="I58" s="819"/>
      <c r="J58" s="817" t="s">
        <v>895</v>
      </c>
      <c r="K58" s="818"/>
      <c r="L58" s="819"/>
      <c r="M58" s="524"/>
    </row>
    <row r="59" spans="1:13" ht="11.85" customHeight="1">
      <c r="A59" s="517" t="s">
        <v>1873</v>
      </c>
      <c r="B59" s="817" t="s">
        <v>895</v>
      </c>
      <c r="C59" s="819"/>
      <c r="D59" s="817" t="s">
        <v>895</v>
      </c>
      <c r="E59" s="819"/>
      <c r="F59" s="525" t="s">
        <v>895</v>
      </c>
      <c r="G59" s="817" t="s">
        <v>895</v>
      </c>
      <c r="H59" s="818"/>
      <c r="I59" s="819"/>
      <c r="J59" s="817" t="s">
        <v>895</v>
      </c>
      <c r="K59" s="818"/>
      <c r="L59" s="819"/>
      <c r="M59" s="524"/>
    </row>
    <row r="60" spans="1:13" ht="11.85" customHeight="1">
      <c r="A60" s="518" t="s">
        <v>1907</v>
      </c>
      <c r="B60" s="834" t="s">
        <v>895</v>
      </c>
      <c r="C60" s="835"/>
      <c r="D60" s="834" t="s">
        <v>895</v>
      </c>
      <c r="E60" s="835"/>
      <c r="F60" s="526" t="s">
        <v>895</v>
      </c>
      <c r="G60" s="834" t="s">
        <v>895</v>
      </c>
      <c r="H60" s="836"/>
      <c r="I60" s="835"/>
      <c r="J60" s="834" t="s">
        <v>895</v>
      </c>
      <c r="K60" s="836"/>
      <c r="L60" s="835"/>
      <c r="M60" s="524"/>
    </row>
    <row r="61" spans="1:13" ht="11.85" customHeight="1">
      <c r="A61" s="519" t="s">
        <v>1908</v>
      </c>
      <c r="B61" s="831" t="s">
        <v>1895</v>
      </c>
      <c r="C61" s="832"/>
      <c r="D61" s="831" t="s">
        <v>1896</v>
      </c>
      <c r="E61" s="832"/>
      <c r="F61" s="527" t="s">
        <v>1896</v>
      </c>
      <c r="G61" s="831" t="s">
        <v>1897</v>
      </c>
      <c r="H61" s="833"/>
      <c r="I61" s="832"/>
      <c r="J61" s="831" t="s">
        <v>895</v>
      </c>
      <c r="K61" s="833"/>
      <c r="L61" s="832"/>
      <c r="M61" s="524"/>
    </row>
    <row r="62" spans="1:13" ht="11.1" customHeight="1">
      <c r="A62" s="519" t="s">
        <v>1909</v>
      </c>
      <c r="B62" s="831" t="s">
        <v>1910</v>
      </c>
      <c r="C62" s="832"/>
      <c r="D62" s="831" t="s">
        <v>1911</v>
      </c>
      <c r="E62" s="832"/>
      <c r="F62" s="527" t="s">
        <v>1911</v>
      </c>
      <c r="G62" s="831" t="s">
        <v>1912</v>
      </c>
      <c r="H62" s="833"/>
      <c r="I62" s="832"/>
      <c r="J62" s="842"/>
      <c r="K62" s="843"/>
      <c r="L62" s="844"/>
      <c r="M62" s="524"/>
    </row>
    <row r="63" spans="1:13" ht="11.85" customHeight="1">
      <c r="A63" s="528" t="s">
        <v>1915</v>
      </c>
      <c r="B63" s="804" t="s">
        <v>1916</v>
      </c>
      <c r="C63" s="805"/>
      <c r="D63" s="805"/>
      <c r="E63" s="805"/>
      <c r="F63" s="805"/>
      <c r="G63" s="805"/>
      <c r="H63" s="805"/>
      <c r="I63" s="805"/>
      <c r="J63" s="805"/>
      <c r="K63" s="805"/>
      <c r="L63" s="806"/>
      <c r="M63" s="827"/>
    </row>
    <row r="64" spans="1:13" ht="11.85" customHeight="1">
      <c r="A64" s="529" t="s">
        <v>1917</v>
      </c>
      <c r="B64" s="828" t="s">
        <v>895</v>
      </c>
      <c r="C64" s="829"/>
      <c r="D64" s="829"/>
      <c r="E64" s="829"/>
      <c r="F64" s="829"/>
      <c r="G64" s="829"/>
      <c r="H64" s="829"/>
      <c r="I64" s="829"/>
      <c r="J64" s="829"/>
      <c r="K64" s="829"/>
      <c r="L64" s="830"/>
      <c r="M64" s="827"/>
    </row>
    <row r="65" spans="1:13" ht="5.85" customHeight="1">
      <c r="A65" s="837"/>
      <c r="B65" s="838"/>
      <c r="C65" s="838"/>
      <c r="D65" s="838"/>
      <c r="E65" s="838"/>
      <c r="F65" s="838"/>
      <c r="G65" s="838"/>
      <c r="H65" s="838"/>
      <c r="I65" s="838"/>
      <c r="J65" s="838"/>
      <c r="K65" s="838"/>
      <c r="L65" s="838"/>
      <c r="M65" s="837"/>
    </row>
    <row r="66" spans="1:13" ht="11.1" customHeight="1">
      <c r="A66" s="528" t="s">
        <v>1918</v>
      </c>
      <c r="B66" s="804" t="s">
        <v>1916</v>
      </c>
      <c r="C66" s="805"/>
      <c r="D66" s="805"/>
      <c r="E66" s="805"/>
      <c r="F66" s="805"/>
      <c r="G66" s="805"/>
      <c r="H66" s="805"/>
      <c r="I66" s="805"/>
      <c r="J66" s="805"/>
      <c r="K66" s="805"/>
      <c r="L66" s="806"/>
      <c r="M66" s="827"/>
    </row>
    <row r="67" spans="1:13" ht="11.85" customHeight="1">
      <c r="A67" s="529" t="s">
        <v>1917</v>
      </c>
      <c r="B67" s="828" t="s">
        <v>1919</v>
      </c>
      <c r="C67" s="829"/>
      <c r="D67" s="829"/>
      <c r="E67" s="829"/>
      <c r="F67" s="829"/>
      <c r="G67" s="829"/>
      <c r="H67" s="829"/>
      <c r="I67" s="829"/>
      <c r="J67" s="829"/>
      <c r="K67" s="829"/>
      <c r="L67" s="830"/>
      <c r="M67" s="827"/>
    </row>
    <row r="68" spans="1:13" ht="5.85" customHeight="1">
      <c r="A68" s="837"/>
      <c r="B68" s="838"/>
      <c r="C68" s="838"/>
      <c r="D68" s="838"/>
      <c r="E68" s="838"/>
      <c r="F68" s="838"/>
      <c r="G68" s="838"/>
      <c r="H68" s="838"/>
      <c r="I68" s="838"/>
      <c r="J68" s="838"/>
      <c r="K68" s="838"/>
      <c r="L68" s="838"/>
      <c r="M68" s="837"/>
    </row>
    <row r="69" spans="1:13" ht="23.65" customHeight="1">
      <c r="A69" s="514" t="s">
        <v>1920</v>
      </c>
      <c r="B69" s="804" t="s">
        <v>1921</v>
      </c>
      <c r="C69" s="805"/>
      <c r="D69" s="805"/>
      <c r="E69" s="805"/>
      <c r="F69" s="805"/>
      <c r="G69" s="805"/>
      <c r="H69" s="805"/>
      <c r="I69" s="805"/>
      <c r="J69" s="805"/>
      <c r="K69" s="805"/>
      <c r="L69" s="806"/>
      <c r="M69" s="513"/>
    </row>
    <row r="70" spans="1:13" ht="11.1" customHeight="1">
      <c r="A70" s="515" t="s">
        <v>1922</v>
      </c>
      <c r="B70" s="839" t="s">
        <v>895</v>
      </c>
      <c r="C70" s="840"/>
      <c r="D70" s="840"/>
      <c r="E70" s="840"/>
      <c r="F70" s="840"/>
      <c r="G70" s="840"/>
      <c r="H70" s="840"/>
      <c r="I70" s="840"/>
      <c r="J70" s="840"/>
      <c r="K70" s="840"/>
      <c r="L70" s="841"/>
      <c r="M70" s="513"/>
    </row>
    <row r="71" spans="1:13" ht="11.85" customHeight="1">
      <c r="A71" s="517" t="s">
        <v>1923</v>
      </c>
      <c r="B71" s="817" t="s">
        <v>895</v>
      </c>
      <c r="C71" s="818"/>
      <c r="D71" s="818"/>
      <c r="E71" s="818"/>
      <c r="F71" s="818"/>
      <c r="G71" s="818"/>
      <c r="H71" s="818"/>
      <c r="I71" s="818"/>
      <c r="J71" s="818"/>
      <c r="K71" s="818"/>
      <c r="L71" s="819"/>
      <c r="M71" s="513"/>
    </row>
    <row r="72" spans="1:13" ht="11.85" customHeight="1">
      <c r="A72" s="517" t="s">
        <v>1924</v>
      </c>
      <c r="B72" s="817" t="s">
        <v>895</v>
      </c>
      <c r="C72" s="818"/>
      <c r="D72" s="818"/>
      <c r="E72" s="818"/>
      <c r="F72" s="818"/>
      <c r="G72" s="818"/>
      <c r="H72" s="818"/>
      <c r="I72" s="818"/>
      <c r="J72" s="818"/>
      <c r="K72" s="818"/>
      <c r="L72" s="819"/>
      <c r="M72" s="513"/>
    </row>
    <row r="73" spans="1:13" ht="11.85" customHeight="1">
      <c r="A73" s="518" t="s">
        <v>1925</v>
      </c>
      <c r="B73" s="834" t="s">
        <v>895</v>
      </c>
      <c r="C73" s="836"/>
      <c r="D73" s="836"/>
      <c r="E73" s="836"/>
      <c r="F73" s="836"/>
      <c r="G73" s="836"/>
      <c r="H73" s="836"/>
      <c r="I73" s="836"/>
      <c r="J73" s="836"/>
      <c r="K73" s="836"/>
      <c r="L73" s="835"/>
      <c r="M73" s="513"/>
    </row>
    <row r="74" spans="1:13" ht="5.0999999999999996" customHeight="1">
      <c r="A74" s="837"/>
      <c r="B74" s="838"/>
      <c r="C74" s="838"/>
      <c r="D74" s="838"/>
      <c r="E74" s="838"/>
      <c r="F74" s="838"/>
      <c r="G74" s="838"/>
      <c r="H74" s="838"/>
      <c r="I74" s="838"/>
      <c r="J74" s="838"/>
      <c r="K74" s="838"/>
      <c r="L74" s="838"/>
      <c r="M74" s="837"/>
    </row>
    <row r="75" spans="1:13" ht="11.85" customHeight="1">
      <c r="A75" s="514" t="s">
        <v>1926</v>
      </c>
      <c r="B75" s="804" t="s">
        <v>1927</v>
      </c>
      <c r="C75" s="805"/>
      <c r="D75" s="805"/>
      <c r="E75" s="805"/>
      <c r="F75" s="805"/>
      <c r="G75" s="805"/>
      <c r="H75" s="805"/>
      <c r="I75" s="805"/>
      <c r="J75" s="805"/>
      <c r="K75" s="805"/>
      <c r="L75" s="806"/>
      <c r="M75" s="513"/>
    </row>
    <row r="76" spans="1:13" ht="11.85" customHeight="1">
      <c r="A76" s="515" t="s">
        <v>1928</v>
      </c>
      <c r="B76" s="839" t="s">
        <v>1929</v>
      </c>
      <c r="C76" s="840"/>
      <c r="D76" s="840"/>
      <c r="E76" s="840"/>
      <c r="F76" s="840"/>
      <c r="G76" s="840"/>
      <c r="H76" s="840"/>
      <c r="I76" s="840"/>
      <c r="J76" s="840"/>
      <c r="K76" s="840"/>
      <c r="L76" s="841"/>
      <c r="M76" s="513"/>
    </row>
    <row r="77" spans="1:13" ht="11.85" customHeight="1">
      <c r="A77" s="517" t="s">
        <v>1930</v>
      </c>
      <c r="B77" s="817" t="s">
        <v>1931</v>
      </c>
      <c r="C77" s="818"/>
      <c r="D77" s="818"/>
      <c r="E77" s="818"/>
      <c r="F77" s="818"/>
      <c r="G77" s="818"/>
      <c r="H77" s="818"/>
      <c r="I77" s="818"/>
      <c r="J77" s="818"/>
      <c r="K77" s="818"/>
      <c r="L77" s="819"/>
      <c r="M77" s="513"/>
    </row>
    <row r="78" spans="1:13" ht="11.1" customHeight="1">
      <c r="A78" s="518" t="s">
        <v>1932</v>
      </c>
      <c r="B78" s="834" t="s">
        <v>895</v>
      </c>
      <c r="C78" s="836"/>
      <c r="D78" s="836"/>
      <c r="E78" s="836"/>
      <c r="F78" s="836"/>
      <c r="G78" s="836"/>
      <c r="H78" s="836"/>
      <c r="I78" s="836"/>
      <c r="J78" s="836"/>
      <c r="K78" s="836"/>
      <c r="L78" s="835"/>
      <c r="M78" s="513"/>
    </row>
    <row r="79" spans="1:13" ht="11.85" customHeight="1">
      <c r="A79" s="826" t="s">
        <v>1913</v>
      </c>
      <c r="B79" s="826"/>
      <c r="C79" s="826"/>
      <c r="D79" s="826"/>
      <c r="E79" s="826"/>
      <c r="F79" s="826"/>
      <c r="G79" s="826"/>
      <c r="H79" s="826"/>
      <c r="I79" s="826"/>
      <c r="J79" s="826"/>
      <c r="K79" s="826"/>
      <c r="L79" s="826"/>
    </row>
    <row r="80" spans="1:13">
      <c r="A80" s="511"/>
      <c r="B80" s="511"/>
      <c r="C80" s="511"/>
      <c r="D80" s="511"/>
      <c r="E80" s="511"/>
      <c r="F80" s="511"/>
      <c r="G80" s="511"/>
      <c r="H80" s="511"/>
      <c r="I80" s="511"/>
      <c r="J80" s="511"/>
      <c r="K80" s="511"/>
      <c r="L80" s="511"/>
    </row>
    <row r="81" spans="1:13">
      <c r="A81" s="534"/>
      <c r="B81" s="534"/>
      <c r="C81" s="534"/>
      <c r="D81" s="534"/>
      <c r="E81" s="534"/>
      <c r="F81" s="534"/>
      <c r="G81" s="534"/>
      <c r="H81" s="534"/>
      <c r="I81" s="534"/>
      <c r="J81" s="534"/>
      <c r="K81" s="534"/>
      <c r="L81" s="534"/>
    </row>
    <row r="82" spans="1:13">
      <c r="A82" s="534"/>
      <c r="B82" s="534"/>
      <c r="C82" s="534"/>
      <c r="D82" s="534"/>
      <c r="E82" s="534"/>
      <c r="F82" s="534"/>
      <c r="G82" s="534"/>
      <c r="H82" s="534"/>
      <c r="I82" s="534"/>
      <c r="J82" s="534"/>
      <c r="K82" s="534"/>
      <c r="L82" s="534"/>
    </row>
    <row r="83" spans="1:13">
      <c r="A83" s="534"/>
      <c r="B83" s="534"/>
      <c r="C83" s="534"/>
      <c r="D83" s="534"/>
      <c r="E83" s="534"/>
      <c r="F83" s="534"/>
      <c r="G83" s="534"/>
      <c r="H83" s="534"/>
      <c r="I83" s="534"/>
      <c r="J83" s="534"/>
      <c r="K83" s="534"/>
      <c r="L83" s="534"/>
    </row>
    <row r="87" spans="1:13" ht="11.1" customHeight="1">
      <c r="A87" s="740" t="s">
        <v>1836</v>
      </c>
      <c r="B87" s="740"/>
      <c r="C87" t="s">
        <v>1405</v>
      </c>
      <c r="L87" s="512" t="s">
        <v>1933</v>
      </c>
    </row>
    <row r="88" spans="1:13" ht="11.85" customHeight="1">
      <c r="A88" s="742" t="s">
        <v>1837</v>
      </c>
      <c r="B88" s="742"/>
      <c r="C88" s="742"/>
      <c r="D88" s="742"/>
      <c r="E88" s="742"/>
      <c r="F88" s="742"/>
      <c r="G88" s="742"/>
      <c r="H88" s="742"/>
    </row>
    <row r="89" spans="1:13" ht="11.85" customHeight="1">
      <c r="A89" s="740" t="s">
        <v>1838</v>
      </c>
      <c r="B89" s="740"/>
      <c r="C89" t="s">
        <v>885</v>
      </c>
    </row>
    <row r="90" spans="1:13" ht="11.1" customHeight="1">
      <c r="A90" s="810" t="s">
        <v>1839</v>
      </c>
      <c r="B90" s="810"/>
      <c r="C90" s="502"/>
      <c r="D90" s="502"/>
      <c r="E90" s="502"/>
      <c r="F90" s="502"/>
      <c r="G90" s="502"/>
      <c r="H90" s="750" t="s">
        <v>887</v>
      </c>
      <c r="I90" s="750"/>
      <c r="J90" s="750"/>
      <c r="K90" s="750"/>
      <c r="L90" s="750"/>
    </row>
    <row r="91" spans="1:13" ht="11.85" customHeight="1">
      <c r="A91" s="804" t="s">
        <v>1934</v>
      </c>
      <c r="B91" s="805"/>
      <c r="C91" s="805"/>
      <c r="D91" s="805"/>
      <c r="E91" s="805"/>
      <c r="F91" s="805"/>
      <c r="G91" s="805"/>
      <c r="H91" s="805"/>
      <c r="I91" s="805"/>
      <c r="J91" s="805"/>
      <c r="K91" s="805"/>
      <c r="L91" s="806"/>
      <c r="M91" s="513"/>
    </row>
    <row r="92" spans="1:13" ht="28.9" customHeight="1">
      <c r="A92" s="514" t="s">
        <v>1935</v>
      </c>
      <c r="B92" s="757" t="s">
        <v>1843</v>
      </c>
      <c r="C92" s="759"/>
      <c r="D92" s="757" t="s">
        <v>1844</v>
      </c>
      <c r="E92" s="758"/>
      <c r="F92" s="758"/>
      <c r="G92" s="758"/>
      <c r="H92" s="758"/>
      <c r="I92" s="758"/>
      <c r="J92" s="758"/>
      <c r="K92" s="758"/>
      <c r="L92" s="759"/>
      <c r="M92" s="513"/>
    </row>
    <row r="93" spans="1:13" ht="11.85" customHeight="1">
      <c r="A93" s="515" t="s">
        <v>1936</v>
      </c>
      <c r="B93" s="845" t="s">
        <v>895</v>
      </c>
      <c r="C93" s="846"/>
      <c r="D93" s="845" t="s">
        <v>895</v>
      </c>
      <c r="E93" s="847"/>
      <c r="F93" s="847"/>
      <c r="G93" s="847"/>
      <c r="H93" s="847"/>
      <c r="I93" s="847"/>
      <c r="J93" s="847"/>
      <c r="K93" s="847"/>
      <c r="L93" s="846"/>
      <c r="M93" s="513"/>
    </row>
    <row r="94" spans="1:13" ht="11.85" customHeight="1">
      <c r="A94" s="516" t="s">
        <v>1847</v>
      </c>
      <c r="B94" s="848" t="s">
        <v>895</v>
      </c>
      <c r="C94" s="849"/>
      <c r="D94" s="848" t="s">
        <v>895</v>
      </c>
      <c r="E94" s="850"/>
      <c r="F94" s="850"/>
      <c r="G94" s="850"/>
      <c r="H94" s="850"/>
      <c r="I94" s="850"/>
      <c r="J94" s="850"/>
      <c r="K94" s="850"/>
      <c r="L94" s="849"/>
      <c r="M94" s="513"/>
    </row>
    <row r="95" spans="1:13" s="3" customFormat="1" ht="11.85" customHeight="1">
      <c r="A95" s="535" t="s">
        <v>1849</v>
      </c>
      <c r="B95" s="851" t="s">
        <v>895</v>
      </c>
      <c r="C95" s="852"/>
      <c r="D95" s="851" t="s">
        <v>895</v>
      </c>
      <c r="E95" s="853"/>
      <c r="F95" s="853"/>
      <c r="G95" s="853"/>
      <c r="H95" s="853"/>
      <c r="I95" s="853"/>
      <c r="J95" s="853"/>
      <c r="K95" s="853"/>
      <c r="L95" s="852"/>
      <c r="M95" s="536"/>
    </row>
    <row r="96" spans="1:13" s="3" customFormat="1" ht="11.1" customHeight="1">
      <c r="A96" s="535" t="s">
        <v>1852</v>
      </c>
      <c r="B96" s="851" t="s">
        <v>895</v>
      </c>
      <c r="C96" s="852"/>
      <c r="D96" s="851" t="s">
        <v>895</v>
      </c>
      <c r="E96" s="853"/>
      <c r="F96" s="853"/>
      <c r="G96" s="853"/>
      <c r="H96" s="853"/>
      <c r="I96" s="853"/>
      <c r="J96" s="853"/>
      <c r="K96" s="853"/>
      <c r="L96" s="852"/>
      <c r="M96" s="536"/>
    </row>
    <row r="97" spans="1:13" s="3" customFormat="1" ht="11.85" customHeight="1">
      <c r="A97" s="535" t="s">
        <v>1855</v>
      </c>
      <c r="B97" s="851" t="s">
        <v>895</v>
      </c>
      <c r="C97" s="852"/>
      <c r="D97" s="851" t="s">
        <v>895</v>
      </c>
      <c r="E97" s="853"/>
      <c r="F97" s="853"/>
      <c r="G97" s="853"/>
      <c r="H97" s="853"/>
      <c r="I97" s="853"/>
      <c r="J97" s="853"/>
      <c r="K97" s="853"/>
      <c r="L97" s="852"/>
      <c r="M97" s="536"/>
    </row>
    <row r="98" spans="1:13" s="3" customFormat="1" ht="11.85" customHeight="1">
      <c r="A98" s="537" t="s">
        <v>1858</v>
      </c>
      <c r="B98" s="854" t="s">
        <v>895</v>
      </c>
      <c r="C98" s="855"/>
      <c r="D98" s="854" t="s">
        <v>895</v>
      </c>
      <c r="E98" s="856"/>
      <c r="F98" s="856"/>
      <c r="G98" s="856"/>
      <c r="H98" s="856"/>
      <c r="I98" s="856"/>
      <c r="J98" s="856"/>
      <c r="K98" s="856"/>
      <c r="L98" s="855"/>
      <c r="M98" s="536"/>
    </row>
    <row r="99" spans="1:13" s="3" customFormat="1" ht="11.85" customHeight="1">
      <c r="A99" s="535" t="s">
        <v>1849</v>
      </c>
      <c r="B99" s="851" t="s">
        <v>895</v>
      </c>
      <c r="C99" s="852"/>
      <c r="D99" s="851" t="s">
        <v>895</v>
      </c>
      <c r="E99" s="853"/>
      <c r="F99" s="853"/>
      <c r="G99" s="853"/>
      <c r="H99" s="853"/>
      <c r="I99" s="853"/>
      <c r="J99" s="853"/>
      <c r="K99" s="853"/>
      <c r="L99" s="852"/>
      <c r="M99" s="536"/>
    </row>
    <row r="100" spans="1:13" s="3" customFormat="1" ht="11.1" customHeight="1">
      <c r="A100" s="535" t="s">
        <v>1852</v>
      </c>
      <c r="B100" s="851" t="s">
        <v>895</v>
      </c>
      <c r="C100" s="852"/>
      <c r="D100" s="851" t="s">
        <v>895</v>
      </c>
      <c r="E100" s="853"/>
      <c r="F100" s="853"/>
      <c r="G100" s="853"/>
      <c r="H100" s="853"/>
      <c r="I100" s="853"/>
      <c r="J100" s="853"/>
      <c r="K100" s="853"/>
      <c r="L100" s="852"/>
      <c r="M100" s="536"/>
    </row>
    <row r="101" spans="1:13" s="3" customFormat="1" ht="11.85" customHeight="1">
      <c r="A101" s="535" t="s">
        <v>1855</v>
      </c>
      <c r="B101" s="851" t="s">
        <v>895</v>
      </c>
      <c r="C101" s="852"/>
      <c r="D101" s="851" t="s">
        <v>895</v>
      </c>
      <c r="E101" s="853"/>
      <c r="F101" s="853"/>
      <c r="G101" s="853"/>
      <c r="H101" s="853"/>
      <c r="I101" s="853"/>
      <c r="J101" s="853"/>
      <c r="K101" s="853"/>
      <c r="L101" s="852"/>
      <c r="M101" s="536"/>
    </row>
    <row r="102" spans="1:13" s="3" customFormat="1" ht="11.85" customHeight="1">
      <c r="A102" s="537" t="s">
        <v>1543</v>
      </c>
      <c r="B102" s="854" t="s">
        <v>895</v>
      </c>
      <c r="C102" s="855"/>
      <c r="D102" s="854" t="s">
        <v>895</v>
      </c>
      <c r="E102" s="856"/>
      <c r="F102" s="856"/>
      <c r="G102" s="856"/>
      <c r="H102" s="856"/>
      <c r="I102" s="856"/>
      <c r="J102" s="856"/>
      <c r="K102" s="856"/>
      <c r="L102" s="855"/>
      <c r="M102" s="536"/>
    </row>
    <row r="103" spans="1:13" s="3" customFormat="1" ht="11.85" customHeight="1">
      <c r="A103" s="535" t="s">
        <v>1869</v>
      </c>
      <c r="B103" s="851" t="s">
        <v>895</v>
      </c>
      <c r="C103" s="852"/>
      <c r="D103" s="851" t="s">
        <v>895</v>
      </c>
      <c r="E103" s="853"/>
      <c r="F103" s="853"/>
      <c r="G103" s="853"/>
      <c r="H103" s="853"/>
      <c r="I103" s="853"/>
      <c r="J103" s="853"/>
      <c r="K103" s="853"/>
      <c r="L103" s="852"/>
      <c r="M103" s="536"/>
    </row>
    <row r="104" spans="1:13" s="3" customFormat="1" ht="11.1" customHeight="1">
      <c r="A104" s="535" t="s">
        <v>1870</v>
      </c>
      <c r="B104" s="851" t="s">
        <v>895</v>
      </c>
      <c r="C104" s="852"/>
      <c r="D104" s="851" t="s">
        <v>895</v>
      </c>
      <c r="E104" s="853"/>
      <c r="F104" s="853"/>
      <c r="G104" s="853"/>
      <c r="H104" s="853"/>
      <c r="I104" s="853"/>
      <c r="J104" s="853"/>
      <c r="K104" s="853"/>
      <c r="L104" s="852"/>
      <c r="M104" s="536"/>
    </row>
    <row r="105" spans="1:13" s="3" customFormat="1" ht="11.85" customHeight="1">
      <c r="A105" s="535" t="s">
        <v>1573</v>
      </c>
      <c r="B105" s="851" t="s">
        <v>895</v>
      </c>
      <c r="C105" s="852"/>
      <c r="D105" s="851" t="s">
        <v>895</v>
      </c>
      <c r="E105" s="853"/>
      <c r="F105" s="853"/>
      <c r="G105" s="853"/>
      <c r="H105" s="853"/>
      <c r="I105" s="853"/>
      <c r="J105" s="853"/>
      <c r="K105" s="853"/>
      <c r="L105" s="852"/>
      <c r="M105" s="536"/>
    </row>
    <row r="106" spans="1:13" s="3" customFormat="1" ht="11.85" customHeight="1">
      <c r="A106" s="537" t="s">
        <v>1602</v>
      </c>
      <c r="B106" s="854" t="s">
        <v>895</v>
      </c>
      <c r="C106" s="855"/>
      <c r="D106" s="854" t="s">
        <v>895</v>
      </c>
      <c r="E106" s="856"/>
      <c r="F106" s="856"/>
      <c r="G106" s="856"/>
      <c r="H106" s="856"/>
      <c r="I106" s="856"/>
      <c r="J106" s="856"/>
      <c r="K106" s="856"/>
      <c r="L106" s="855"/>
      <c r="M106" s="536"/>
    </row>
    <row r="107" spans="1:13" s="3" customFormat="1" ht="11.85" customHeight="1">
      <c r="A107" s="537" t="s">
        <v>1742</v>
      </c>
      <c r="B107" s="854" t="s">
        <v>895</v>
      </c>
      <c r="C107" s="855"/>
      <c r="D107" s="854" t="s">
        <v>895</v>
      </c>
      <c r="E107" s="856"/>
      <c r="F107" s="856"/>
      <c r="G107" s="856"/>
      <c r="H107" s="856"/>
      <c r="I107" s="856"/>
      <c r="J107" s="856"/>
      <c r="K107" s="856"/>
      <c r="L107" s="855"/>
      <c r="M107" s="536"/>
    </row>
    <row r="108" spans="1:13" s="3" customFormat="1" ht="11.1" customHeight="1">
      <c r="A108" s="535" t="s">
        <v>1937</v>
      </c>
      <c r="B108" s="851" t="s">
        <v>895</v>
      </c>
      <c r="C108" s="852"/>
      <c r="D108" s="851" t="s">
        <v>895</v>
      </c>
      <c r="E108" s="853"/>
      <c r="F108" s="853"/>
      <c r="G108" s="853"/>
      <c r="H108" s="853"/>
      <c r="I108" s="853"/>
      <c r="J108" s="853"/>
      <c r="K108" s="853"/>
      <c r="L108" s="852"/>
      <c r="M108" s="536"/>
    </row>
    <row r="109" spans="1:13" s="3" customFormat="1" ht="11.85" customHeight="1">
      <c r="A109" s="535" t="s">
        <v>1879</v>
      </c>
      <c r="B109" s="851" t="s">
        <v>895</v>
      </c>
      <c r="C109" s="852"/>
      <c r="D109" s="851" t="s">
        <v>895</v>
      </c>
      <c r="E109" s="853"/>
      <c r="F109" s="853"/>
      <c r="G109" s="853"/>
      <c r="H109" s="853"/>
      <c r="I109" s="853"/>
      <c r="J109" s="853"/>
      <c r="K109" s="853"/>
      <c r="L109" s="852"/>
      <c r="M109" s="536"/>
    </row>
    <row r="110" spans="1:13" s="3" customFormat="1" ht="11.85" customHeight="1">
      <c r="A110" s="535" t="s">
        <v>1938</v>
      </c>
      <c r="B110" s="854" t="s">
        <v>895</v>
      </c>
      <c r="C110" s="855"/>
      <c r="D110" s="854" t="s">
        <v>895</v>
      </c>
      <c r="E110" s="856"/>
      <c r="F110" s="856"/>
      <c r="G110" s="856"/>
      <c r="H110" s="856"/>
      <c r="I110" s="856"/>
      <c r="J110" s="856"/>
      <c r="K110" s="856"/>
      <c r="L110" s="855"/>
      <c r="M110" s="536"/>
    </row>
    <row r="111" spans="1:13" s="3" customFormat="1" ht="11.85" customHeight="1">
      <c r="A111" s="535" t="s">
        <v>1882</v>
      </c>
      <c r="B111" s="851" t="s">
        <v>895</v>
      </c>
      <c r="C111" s="852"/>
      <c r="D111" s="851" t="s">
        <v>895</v>
      </c>
      <c r="E111" s="853"/>
      <c r="F111" s="853"/>
      <c r="G111" s="853"/>
      <c r="H111" s="853"/>
      <c r="I111" s="853"/>
      <c r="J111" s="853"/>
      <c r="K111" s="853"/>
      <c r="L111" s="852"/>
      <c r="M111" s="536"/>
    </row>
    <row r="112" spans="1:13" s="3" customFormat="1" ht="11.1" customHeight="1">
      <c r="A112" s="535" t="s">
        <v>1883</v>
      </c>
      <c r="B112" s="851" t="s">
        <v>895</v>
      </c>
      <c r="C112" s="852"/>
      <c r="D112" s="851" t="s">
        <v>895</v>
      </c>
      <c r="E112" s="853"/>
      <c r="F112" s="853"/>
      <c r="G112" s="853"/>
      <c r="H112" s="853"/>
      <c r="I112" s="853"/>
      <c r="J112" s="853"/>
      <c r="K112" s="853"/>
      <c r="L112" s="852"/>
      <c r="M112" s="536"/>
    </row>
    <row r="113" spans="1:13" s="3" customFormat="1" ht="11.85" customHeight="1">
      <c r="A113" s="538" t="s">
        <v>1884</v>
      </c>
      <c r="B113" s="857" t="s">
        <v>895</v>
      </c>
      <c r="C113" s="858"/>
      <c r="D113" s="857" t="s">
        <v>895</v>
      </c>
      <c r="E113" s="859"/>
      <c r="F113" s="859"/>
      <c r="G113" s="859"/>
      <c r="H113" s="859"/>
      <c r="I113" s="859"/>
      <c r="J113" s="859"/>
      <c r="K113" s="859"/>
      <c r="L113" s="858"/>
      <c r="M113" s="536"/>
    </row>
    <row r="114" spans="1:13" ht="11.85" customHeight="1">
      <c r="A114" s="519" t="s">
        <v>1939</v>
      </c>
      <c r="B114" s="831" t="s">
        <v>895</v>
      </c>
      <c r="C114" s="832"/>
      <c r="D114" s="831" t="s">
        <v>895</v>
      </c>
      <c r="E114" s="833"/>
      <c r="F114" s="833"/>
      <c r="G114" s="833"/>
      <c r="H114" s="833"/>
      <c r="I114" s="833"/>
      <c r="J114" s="833"/>
      <c r="K114" s="833"/>
      <c r="L114" s="832"/>
      <c r="M114" s="513"/>
    </row>
    <row r="115" spans="1:13" ht="5.85" customHeight="1">
      <c r="A115" s="520"/>
      <c r="B115" s="520"/>
      <c r="C115" s="520"/>
      <c r="D115" s="520"/>
      <c r="E115" s="520"/>
      <c r="F115" s="520"/>
      <c r="G115" s="520"/>
      <c r="H115" s="520"/>
      <c r="I115" s="520"/>
      <c r="J115" s="520"/>
      <c r="K115" s="520"/>
      <c r="L115" s="520"/>
    </row>
    <row r="116" spans="1:13" ht="34.700000000000003" customHeight="1">
      <c r="A116" s="514" t="s">
        <v>1940</v>
      </c>
      <c r="B116" s="757" t="s">
        <v>1889</v>
      </c>
      <c r="C116" s="759"/>
      <c r="D116" s="757" t="s">
        <v>1890</v>
      </c>
      <c r="E116" s="759"/>
      <c r="F116" s="521" t="s">
        <v>1891</v>
      </c>
      <c r="G116" s="757" t="s">
        <v>1941</v>
      </c>
      <c r="H116" s="758"/>
      <c r="I116" s="759"/>
      <c r="J116" s="757" t="s">
        <v>1893</v>
      </c>
      <c r="K116" s="758"/>
      <c r="L116" s="759"/>
      <c r="M116" s="513"/>
    </row>
    <row r="117" spans="1:13" ht="11.85" customHeight="1">
      <c r="A117" s="522" t="s">
        <v>1894</v>
      </c>
      <c r="B117" s="845" t="s">
        <v>895</v>
      </c>
      <c r="C117" s="846"/>
      <c r="D117" s="845" t="s">
        <v>895</v>
      </c>
      <c r="E117" s="846"/>
      <c r="F117" s="530" t="s">
        <v>895</v>
      </c>
      <c r="G117" s="845" t="s">
        <v>895</v>
      </c>
      <c r="H117" s="847"/>
      <c r="I117" s="846"/>
      <c r="J117" s="845" t="s">
        <v>895</v>
      </c>
      <c r="K117" s="847"/>
      <c r="L117" s="846"/>
      <c r="M117" s="524"/>
    </row>
    <row r="118" spans="1:13" ht="11.85" customHeight="1">
      <c r="A118" s="517" t="s">
        <v>1898</v>
      </c>
      <c r="B118" s="817" t="s">
        <v>895</v>
      </c>
      <c r="C118" s="819"/>
      <c r="D118" s="817" t="s">
        <v>895</v>
      </c>
      <c r="E118" s="819"/>
      <c r="F118" s="525" t="s">
        <v>895</v>
      </c>
      <c r="G118" s="817" t="s">
        <v>895</v>
      </c>
      <c r="H118" s="818"/>
      <c r="I118" s="819"/>
      <c r="J118" s="817" t="s">
        <v>895</v>
      </c>
      <c r="K118" s="818"/>
      <c r="L118" s="819"/>
      <c r="M118" s="524"/>
    </row>
    <row r="119" spans="1:13" ht="11.1" customHeight="1">
      <c r="A119" s="517" t="s">
        <v>1902</v>
      </c>
      <c r="B119" s="817" t="s">
        <v>895</v>
      </c>
      <c r="C119" s="819"/>
      <c r="D119" s="817" t="s">
        <v>895</v>
      </c>
      <c r="E119" s="819"/>
      <c r="F119" s="525" t="s">
        <v>895</v>
      </c>
      <c r="G119" s="817" t="s">
        <v>895</v>
      </c>
      <c r="H119" s="818"/>
      <c r="I119" s="819"/>
      <c r="J119" s="817" t="s">
        <v>895</v>
      </c>
      <c r="K119" s="818"/>
      <c r="L119" s="819"/>
      <c r="M119" s="524"/>
    </row>
    <row r="120" spans="1:13" ht="11.85" customHeight="1">
      <c r="A120" s="516" t="s">
        <v>1906</v>
      </c>
      <c r="B120" s="848" t="s">
        <v>895</v>
      </c>
      <c r="C120" s="849"/>
      <c r="D120" s="848" t="s">
        <v>895</v>
      </c>
      <c r="E120" s="849"/>
      <c r="F120" s="531" t="s">
        <v>895</v>
      </c>
      <c r="G120" s="848" t="s">
        <v>895</v>
      </c>
      <c r="H120" s="850"/>
      <c r="I120" s="849"/>
      <c r="J120" s="848" t="s">
        <v>895</v>
      </c>
      <c r="K120" s="850"/>
      <c r="L120" s="849"/>
      <c r="M120" s="524"/>
    </row>
    <row r="121" spans="1:13" ht="11.85" customHeight="1">
      <c r="A121" s="517" t="s">
        <v>1937</v>
      </c>
      <c r="B121" s="817" t="s">
        <v>895</v>
      </c>
      <c r="C121" s="819"/>
      <c r="D121" s="817" t="s">
        <v>895</v>
      </c>
      <c r="E121" s="819"/>
      <c r="F121" s="525" t="s">
        <v>895</v>
      </c>
      <c r="G121" s="817" t="s">
        <v>895</v>
      </c>
      <c r="H121" s="818"/>
      <c r="I121" s="819"/>
      <c r="J121" s="817" t="s">
        <v>895</v>
      </c>
      <c r="K121" s="818"/>
      <c r="L121" s="819"/>
      <c r="M121" s="524"/>
    </row>
    <row r="122" spans="1:13" ht="11.85" customHeight="1">
      <c r="A122" s="518" t="s">
        <v>1907</v>
      </c>
      <c r="B122" s="834" t="s">
        <v>895</v>
      </c>
      <c r="C122" s="835"/>
      <c r="D122" s="834" t="s">
        <v>895</v>
      </c>
      <c r="E122" s="835"/>
      <c r="F122" s="526" t="s">
        <v>895</v>
      </c>
      <c r="G122" s="834" t="s">
        <v>895</v>
      </c>
      <c r="H122" s="836"/>
      <c r="I122" s="835"/>
      <c r="J122" s="834" t="s">
        <v>895</v>
      </c>
      <c r="K122" s="836"/>
      <c r="L122" s="835"/>
      <c r="M122" s="524"/>
    </row>
    <row r="123" spans="1:13" ht="11.1" customHeight="1">
      <c r="A123" s="519" t="s">
        <v>1942</v>
      </c>
      <c r="B123" s="831" t="s">
        <v>895</v>
      </c>
      <c r="C123" s="832"/>
      <c r="D123" s="831" t="s">
        <v>895</v>
      </c>
      <c r="E123" s="832"/>
      <c r="F123" s="527" t="s">
        <v>895</v>
      </c>
      <c r="G123" s="831" t="s">
        <v>895</v>
      </c>
      <c r="H123" s="833"/>
      <c r="I123" s="832"/>
      <c r="J123" s="831" t="s">
        <v>895</v>
      </c>
      <c r="K123" s="833"/>
      <c r="L123" s="832"/>
      <c r="M123" s="524"/>
    </row>
    <row r="124" spans="1:13" ht="11.85" customHeight="1">
      <c r="A124" s="519" t="s">
        <v>1943</v>
      </c>
      <c r="B124" s="831" t="s">
        <v>895</v>
      </c>
      <c r="C124" s="832"/>
      <c r="D124" s="831" t="s">
        <v>895</v>
      </c>
      <c r="E124" s="832"/>
      <c r="F124" s="527" t="s">
        <v>895</v>
      </c>
      <c r="G124" s="831" t="s">
        <v>895</v>
      </c>
      <c r="H124" s="833"/>
      <c r="I124" s="832"/>
      <c r="J124" s="842"/>
      <c r="K124" s="843"/>
      <c r="L124" s="844"/>
      <c r="M124" s="524"/>
    </row>
    <row r="125" spans="1:13" ht="11.85" customHeight="1">
      <c r="A125" s="826" t="s">
        <v>1913</v>
      </c>
      <c r="B125" s="826"/>
      <c r="C125" s="826"/>
      <c r="D125" s="826"/>
      <c r="E125" s="826"/>
      <c r="F125" s="826"/>
      <c r="G125" s="826"/>
      <c r="H125" s="826"/>
      <c r="I125" s="826"/>
      <c r="J125" s="826"/>
      <c r="K125" s="826"/>
      <c r="L125" s="826"/>
    </row>
    <row r="126" spans="1:13" ht="11.85" customHeight="1">
      <c r="A126" s="740" t="s">
        <v>1405</v>
      </c>
      <c r="B126" s="740"/>
      <c r="L126" s="512" t="s">
        <v>1944</v>
      </c>
    </row>
    <row r="127" spans="1:13" ht="11.1" customHeight="1">
      <c r="A127" s="740" t="s">
        <v>1836</v>
      </c>
      <c r="B127" s="740"/>
    </row>
    <row r="128" spans="1:13" ht="11.85" customHeight="1">
      <c r="A128" s="742" t="s">
        <v>1837</v>
      </c>
      <c r="B128" s="742"/>
      <c r="C128" s="742"/>
      <c r="D128" s="742"/>
      <c r="E128" s="742"/>
      <c r="F128" s="742"/>
      <c r="G128" s="742"/>
      <c r="H128" s="742"/>
    </row>
    <row r="129" spans="1:13" ht="11.85" customHeight="1">
      <c r="A129" s="740" t="s">
        <v>1838</v>
      </c>
      <c r="B129" s="740"/>
    </row>
    <row r="130" spans="1:13" ht="11.85" customHeight="1">
      <c r="A130" s="740" t="s">
        <v>885</v>
      </c>
      <c r="B130" s="740"/>
    </row>
    <row r="131" spans="1:13" ht="5.85" customHeight="1"/>
    <row r="132" spans="1:13" ht="11.1" customHeight="1">
      <c r="A132" s="810" t="s">
        <v>1839</v>
      </c>
      <c r="B132" s="810"/>
      <c r="C132" s="502"/>
      <c r="D132" s="502"/>
      <c r="E132" s="502"/>
      <c r="F132" s="502"/>
      <c r="G132" s="502"/>
      <c r="H132" s="750" t="s">
        <v>887</v>
      </c>
      <c r="I132" s="750"/>
      <c r="J132" s="750"/>
      <c r="K132" s="750"/>
      <c r="L132" s="750"/>
    </row>
    <row r="133" spans="1:13" ht="23.65" customHeight="1">
      <c r="A133" s="514" t="s">
        <v>1945</v>
      </c>
      <c r="B133" s="804" t="s">
        <v>1921</v>
      </c>
      <c r="C133" s="805"/>
      <c r="D133" s="805"/>
      <c r="E133" s="805"/>
      <c r="F133" s="805"/>
      <c r="G133" s="805"/>
      <c r="H133" s="805"/>
      <c r="I133" s="805"/>
      <c r="J133" s="805"/>
      <c r="K133" s="805"/>
      <c r="L133" s="806"/>
      <c r="M133" s="513"/>
    </row>
    <row r="134" spans="1:13" ht="11.85" customHeight="1">
      <c r="A134" s="515" t="s">
        <v>1946</v>
      </c>
      <c r="B134" s="839" t="s">
        <v>895</v>
      </c>
      <c r="C134" s="840"/>
      <c r="D134" s="840"/>
      <c r="E134" s="840"/>
      <c r="F134" s="840"/>
      <c r="G134" s="840"/>
      <c r="H134" s="840"/>
      <c r="I134" s="840"/>
      <c r="J134" s="840"/>
      <c r="K134" s="840"/>
      <c r="L134" s="841"/>
      <c r="M134" s="513"/>
    </row>
    <row r="135" spans="1:13" ht="11.1" customHeight="1">
      <c r="A135" s="518" t="s">
        <v>1947</v>
      </c>
      <c r="B135" s="834" t="s">
        <v>895</v>
      </c>
      <c r="C135" s="836"/>
      <c r="D135" s="836"/>
      <c r="E135" s="836"/>
      <c r="F135" s="836"/>
      <c r="G135" s="836"/>
      <c r="H135" s="836"/>
      <c r="I135" s="836"/>
      <c r="J135" s="836"/>
      <c r="K135" s="836"/>
      <c r="L135" s="835"/>
      <c r="M135" s="513"/>
    </row>
    <row r="136" spans="1:13" ht="5.85" customHeight="1">
      <c r="A136" s="520"/>
      <c r="B136" s="520"/>
      <c r="C136" s="520"/>
      <c r="D136" s="520"/>
      <c r="E136" s="520"/>
      <c r="F136" s="520"/>
      <c r="G136" s="520"/>
      <c r="H136" s="520"/>
      <c r="I136" s="520"/>
      <c r="J136" s="520"/>
      <c r="K136" s="520"/>
      <c r="L136" s="520"/>
    </row>
    <row r="137" spans="1:13" ht="11.85" customHeight="1">
      <c r="A137" s="804" t="s">
        <v>1948</v>
      </c>
      <c r="B137" s="805"/>
      <c r="C137" s="805"/>
      <c r="D137" s="805"/>
      <c r="E137" s="805"/>
      <c r="F137" s="805"/>
      <c r="G137" s="805"/>
      <c r="H137" s="805"/>
      <c r="I137" s="805"/>
      <c r="J137" s="805"/>
      <c r="K137" s="805"/>
      <c r="L137" s="806"/>
      <c r="M137" s="513"/>
    </row>
    <row r="138" spans="1:13" ht="28.9" customHeight="1">
      <c r="A138" s="514" t="s">
        <v>1949</v>
      </c>
      <c r="B138" s="757" t="s">
        <v>1950</v>
      </c>
      <c r="C138" s="759"/>
      <c r="D138" s="757" t="s">
        <v>1844</v>
      </c>
      <c r="E138" s="758"/>
      <c r="F138" s="758"/>
      <c r="G138" s="758"/>
      <c r="H138" s="758"/>
      <c r="I138" s="758"/>
      <c r="J138" s="758"/>
      <c r="K138" s="758"/>
      <c r="L138" s="759"/>
      <c r="M138" s="513"/>
    </row>
    <row r="139" spans="1:13" ht="11.85" customHeight="1">
      <c r="A139" s="532" t="s">
        <v>3</v>
      </c>
      <c r="B139" s="842" t="s">
        <v>1951</v>
      </c>
      <c r="C139" s="844"/>
      <c r="D139" s="842" t="s">
        <v>1952</v>
      </c>
      <c r="E139" s="843"/>
      <c r="F139" s="843"/>
      <c r="G139" s="843"/>
      <c r="H139" s="843"/>
      <c r="I139" s="843"/>
      <c r="J139" s="843"/>
      <c r="K139" s="843"/>
      <c r="L139" s="844"/>
      <c r="M139" s="513"/>
    </row>
    <row r="140" spans="1:13" ht="11.85" customHeight="1">
      <c r="A140" s="519" t="s">
        <v>1953</v>
      </c>
      <c r="B140" s="831" t="s">
        <v>1951</v>
      </c>
      <c r="C140" s="832"/>
      <c r="D140" s="831" t="s">
        <v>1952</v>
      </c>
      <c r="E140" s="833"/>
      <c r="F140" s="833"/>
      <c r="G140" s="833"/>
      <c r="H140" s="833"/>
      <c r="I140" s="833"/>
      <c r="J140" s="833"/>
      <c r="K140" s="833"/>
      <c r="L140" s="832"/>
      <c r="M140" s="513"/>
    </row>
    <row r="141" spans="1:13" ht="5.85" customHeight="1">
      <c r="A141" s="520"/>
      <c r="B141" s="520"/>
      <c r="C141" s="520"/>
      <c r="D141" s="520"/>
      <c r="E141" s="520"/>
      <c r="F141" s="520"/>
      <c r="G141" s="520"/>
      <c r="H141" s="520"/>
      <c r="I141" s="520"/>
      <c r="J141" s="520"/>
      <c r="K141" s="520"/>
      <c r="L141" s="520"/>
    </row>
    <row r="142" spans="1:13" ht="34.700000000000003" customHeight="1">
      <c r="A142" s="514" t="s">
        <v>1954</v>
      </c>
      <c r="B142" s="757" t="s">
        <v>1955</v>
      </c>
      <c r="C142" s="759"/>
      <c r="D142" s="757" t="s">
        <v>1890</v>
      </c>
      <c r="E142" s="759"/>
      <c r="F142" s="521" t="s">
        <v>1891</v>
      </c>
      <c r="G142" s="757" t="s">
        <v>1892</v>
      </c>
      <c r="H142" s="758"/>
      <c r="I142" s="759"/>
      <c r="J142" s="757" t="s">
        <v>1893</v>
      </c>
      <c r="K142" s="758"/>
      <c r="L142" s="759"/>
      <c r="M142" s="513"/>
    </row>
    <row r="143" spans="1:13" ht="11.85" customHeight="1">
      <c r="A143" s="515" t="s">
        <v>1956</v>
      </c>
      <c r="B143" s="839" t="s">
        <v>1957</v>
      </c>
      <c r="C143" s="841"/>
      <c r="D143" s="839" t="s">
        <v>1958</v>
      </c>
      <c r="E143" s="841"/>
      <c r="F143" s="523" t="s">
        <v>1959</v>
      </c>
      <c r="G143" s="839" t="s">
        <v>1960</v>
      </c>
      <c r="H143" s="840"/>
      <c r="I143" s="841"/>
      <c r="J143" s="839" t="s">
        <v>895</v>
      </c>
      <c r="K143" s="840"/>
      <c r="L143" s="841"/>
      <c r="M143" s="524"/>
    </row>
    <row r="144" spans="1:13" ht="11.1" customHeight="1">
      <c r="A144" s="517" t="s">
        <v>1961</v>
      </c>
      <c r="B144" s="817">
        <v>10</v>
      </c>
      <c r="C144" s="819"/>
      <c r="D144" s="817" t="s">
        <v>895</v>
      </c>
      <c r="E144" s="819"/>
      <c r="F144" s="525" t="s">
        <v>895</v>
      </c>
      <c r="G144" s="817" t="s">
        <v>895</v>
      </c>
      <c r="H144" s="818"/>
      <c r="I144" s="819"/>
      <c r="J144" s="817" t="s">
        <v>895</v>
      </c>
      <c r="K144" s="818"/>
      <c r="L144" s="819"/>
      <c r="M144" s="524"/>
    </row>
    <row r="145" spans="1:13" ht="11.85" customHeight="1">
      <c r="A145" s="517" t="s">
        <v>1962</v>
      </c>
      <c r="B145" s="817" t="s">
        <v>1963</v>
      </c>
      <c r="C145" s="819"/>
      <c r="D145" s="817" t="s">
        <v>1958</v>
      </c>
      <c r="E145" s="819"/>
      <c r="F145" s="525" t="s">
        <v>1959</v>
      </c>
      <c r="G145" s="817" t="s">
        <v>1960</v>
      </c>
      <c r="H145" s="818"/>
      <c r="I145" s="819"/>
      <c r="J145" s="817" t="s">
        <v>895</v>
      </c>
      <c r="K145" s="818"/>
      <c r="L145" s="819"/>
      <c r="M145" s="524"/>
    </row>
    <row r="146" spans="1:13" ht="11.85" customHeight="1">
      <c r="A146" s="518" t="s">
        <v>1964</v>
      </c>
      <c r="B146" s="834" t="s">
        <v>1965</v>
      </c>
      <c r="C146" s="835"/>
      <c r="D146" s="834" t="s">
        <v>895</v>
      </c>
      <c r="E146" s="835"/>
      <c r="F146" s="526" t="s">
        <v>895</v>
      </c>
      <c r="G146" s="834" t="s">
        <v>895</v>
      </c>
      <c r="H146" s="836"/>
      <c r="I146" s="835"/>
      <c r="J146" s="834" t="s">
        <v>895</v>
      </c>
      <c r="K146" s="836"/>
      <c r="L146" s="835"/>
      <c r="M146" s="524"/>
    </row>
    <row r="147" spans="1:13" ht="11.85" customHeight="1">
      <c r="A147" s="519" t="s">
        <v>1966</v>
      </c>
      <c r="B147" s="831" t="s">
        <v>1967</v>
      </c>
      <c r="C147" s="832"/>
      <c r="D147" s="831" t="s">
        <v>1958</v>
      </c>
      <c r="E147" s="832"/>
      <c r="F147" s="527" t="s">
        <v>1959</v>
      </c>
      <c r="G147" s="831" t="s">
        <v>1960</v>
      </c>
      <c r="H147" s="833"/>
      <c r="I147" s="832"/>
      <c r="J147" s="831" t="s">
        <v>895</v>
      </c>
      <c r="K147" s="833"/>
      <c r="L147" s="832"/>
      <c r="M147" s="524"/>
    </row>
    <row r="148" spans="1:13" ht="11.1" customHeight="1">
      <c r="A148" s="519" t="s">
        <v>1968</v>
      </c>
      <c r="B148" s="831" t="s">
        <v>1969</v>
      </c>
      <c r="C148" s="832"/>
      <c r="D148" s="831" t="s">
        <v>1970</v>
      </c>
      <c r="E148" s="832"/>
      <c r="F148" s="527" t="s">
        <v>1971</v>
      </c>
      <c r="G148" s="831" t="s">
        <v>1972</v>
      </c>
      <c r="H148" s="833"/>
      <c r="I148" s="832"/>
      <c r="J148" s="842"/>
      <c r="K148" s="843"/>
      <c r="L148" s="844"/>
      <c r="M148" s="524"/>
    </row>
    <row r="149" spans="1:13" ht="11.85" customHeight="1">
      <c r="A149" s="804" t="s">
        <v>1974</v>
      </c>
      <c r="B149" s="805"/>
      <c r="C149" s="805"/>
      <c r="D149" s="805"/>
      <c r="E149" s="805"/>
      <c r="F149" s="805"/>
      <c r="G149" s="805"/>
      <c r="H149" s="805"/>
      <c r="I149" s="805"/>
      <c r="J149" s="805"/>
      <c r="K149" s="805"/>
      <c r="L149" s="806"/>
      <c r="M149" s="513"/>
    </row>
    <row r="150" spans="1:13" ht="28.9" customHeight="1">
      <c r="A150" s="514" t="s">
        <v>1975</v>
      </c>
      <c r="B150" s="757" t="s">
        <v>1950</v>
      </c>
      <c r="C150" s="759"/>
      <c r="D150" s="757" t="s">
        <v>1844</v>
      </c>
      <c r="E150" s="758"/>
      <c r="F150" s="758"/>
      <c r="G150" s="758"/>
      <c r="H150" s="758"/>
      <c r="I150" s="758"/>
      <c r="J150" s="758"/>
      <c r="K150" s="758"/>
      <c r="L150" s="759"/>
      <c r="M150" s="513"/>
    </row>
    <row r="151" spans="1:13" ht="11.85" customHeight="1">
      <c r="A151" s="515" t="s">
        <v>1976</v>
      </c>
      <c r="B151" s="839" t="s">
        <v>895</v>
      </c>
      <c r="C151" s="841"/>
      <c r="D151" s="839" t="s">
        <v>895</v>
      </c>
      <c r="E151" s="840"/>
      <c r="F151" s="840"/>
      <c r="G151" s="840"/>
      <c r="H151" s="840"/>
      <c r="I151" s="840"/>
      <c r="J151" s="840"/>
      <c r="K151" s="840"/>
      <c r="L151" s="841"/>
      <c r="M151" s="513"/>
    </row>
    <row r="152" spans="1:13" ht="11.85" customHeight="1">
      <c r="A152" s="518" t="s">
        <v>1977</v>
      </c>
      <c r="B152" s="834" t="s">
        <v>895</v>
      </c>
      <c r="C152" s="835"/>
      <c r="D152" s="834" t="s">
        <v>895</v>
      </c>
      <c r="E152" s="836"/>
      <c r="F152" s="836"/>
      <c r="G152" s="836"/>
      <c r="H152" s="836"/>
      <c r="I152" s="836"/>
      <c r="J152" s="836"/>
      <c r="K152" s="836"/>
      <c r="L152" s="835"/>
      <c r="M152" s="513"/>
    </row>
    <row r="153" spans="1:13" ht="11.85" customHeight="1">
      <c r="A153" s="519" t="s">
        <v>1978</v>
      </c>
      <c r="B153" s="831" t="s">
        <v>895</v>
      </c>
      <c r="C153" s="832"/>
      <c r="D153" s="831" t="s">
        <v>895</v>
      </c>
      <c r="E153" s="833"/>
      <c r="F153" s="833"/>
      <c r="G153" s="833"/>
      <c r="H153" s="833"/>
      <c r="I153" s="833"/>
      <c r="J153" s="833"/>
      <c r="K153" s="833"/>
      <c r="L153" s="832"/>
      <c r="M153" s="513"/>
    </row>
    <row r="154" spans="1:13" ht="5.85" customHeight="1">
      <c r="A154" s="520"/>
      <c r="B154" s="520"/>
      <c r="C154" s="520"/>
      <c r="D154" s="520"/>
      <c r="E154" s="520"/>
      <c r="F154" s="520"/>
      <c r="G154" s="520"/>
      <c r="H154" s="520"/>
      <c r="I154" s="520"/>
      <c r="J154" s="520"/>
      <c r="K154" s="520"/>
      <c r="L154" s="520"/>
    </row>
    <row r="155" spans="1:13" ht="34.700000000000003" customHeight="1">
      <c r="A155" s="514" t="s">
        <v>1979</v>
      </c>
      <c r="B155" s="757" t="s">
        <v>1955</v>
      </c>
      <c r="C155" s="759"/>
      <c r="D155" s="757" t="s">
        <v>1890</v>
      </c>
      <c r="E155" s="759"/>
      <c r="F155" s="521" t="s">
        <v>1891</v>
      </c>
      <c r="G155" s="757" t="s">
        <v>1892</v>
      </c>
      <c r="H155" s="758"/>
      <c r="I155" s="759"/>
      <c r="J155" s="757" t="s">
        <v>1893</v>
      </c>
      <c r="K155" s="758"/>
      <c r="L155" s="759"/>
      <c r="M155" s="513"/>
    </row>
    <row r="156" spans="1:13" ht="11.85" customHeight="1">
      <c r="A156" s="515" t="s">
        <v>1898</v>
      </c>
      <c r="B156" s="839" t="s">
        <v>895</v>
      </c>
      <c r="C156" s="841"/>
      <c r="D156" s="839" t="s">
        <v>895</v>
      </c>
      <c r="E156" s="841"/>
      <c r="F156" s="523" t="s">
        <v>895</v>
      </c>
      <c r="G156" s="839" t="s">
        <v>895</v>
      </c>
      <c r="H156" s="840"/>
      <c r="I156" s="841"/>
      <c r="J156" s="839" t="s">
        <v>895</v>
      </c>
      <c r="K156" s="840"/>
      <c r="L156" s="841"/>
      <c r="M156" s="513"/>
    </row>
    <row r="157" spans="1:13" ht="11.1" customHeight="1">
      <c r="A157" s="517" t="s">
        <v>1980</v>
      </c>
      <c r="B157" s="817" t="s">
        <v>895</v>
      </c>
      <c r="C157" s="819"/>
      <c r="D157" s="817" t="s">
        <v>895</v>
      </c>
      <c r="E157" s="819"/>
      <c r="F157" s="525" t="s">
        <v>895</v>
      </c>
      <c r="G157" s="817" t="s">
        <v>895</v>
      </c>
      <c r="H157" s="818"/>
      <c r="I157" s="819"/>
      <c r="J157" s="817" t="s">
        <v>895</v>
      </c>
      <c r="K157" s="818"/>
      <c r="L157" s="819"/>
      <c r="M157" s="513"/>
    </row>
    <row r="158" spans="1:13">
      <c r="A158" s="518" t="s">
        <v>1906</v>
      </c>
      <c r="B158" s="834" t="s">
        <v>895</v>
      </c>
      <c r="C158" s="835"/>
      <c r="D158" s="834" t="s">
        <v>895</v>
      </c>
      <c r="E158" s="835"/>
      <c r="F158" s="526" t="s">
        <v>895</v>
      </c>
      <c r="G158" s="834" t="s">
        <v>895</v>
      </c>
      <c r="H158" s="836"/>
      <c r="I158" s="835"/>
      <c r="J158" s="834" t="s">
        <v>895</v>
      </c>
      <c r="K158" s="836"/>
      <c r="L158" s="835"/>
      <c r="M158" s="513"/>
    </row>
    <row r="159" spans="1:13">
      <c r="A159" s="519" t="s">
        <v>1981</v>
      </c>
      <c r="B159" s="831" t="s">
        <v>895</v>
      </c>
      <c r="C159" s="832"/>
      <c r="D159" s="831" t="s">
        <v>895</v>
      </c>
      <c r="E159" s="832"/>
      <c r="F159" s="527" t="s">
        <v>895</v>
      </c>
      <c r="G159" s="831" t="s">
        <v>895</v>
      </c>
      <c r="H159" s="833"/>
      <c r="I159" s="832"/>
      <c r="J159" s="831" t="s">
        <v>895</v>
      </c>
      <c r="K159" s="833"/>
      <c r="L159" s="832"/>
      <c r="M159" s="513"/>
    </row>
    <row r="160" spans="1:13">
      <c r="A160" s="519" t="s">
        <v>1982</v>
      </c>
      <c r="B160" s="831" t="s">
        <v>895</v>
      </c>
      <c r="C160" s="832"/>
      <c r="D160" s="831" t="s">
        <v>895</v>
      </c>
      <c r="E160" s="832"/>
      <c r="F160" s="527" t="s">
        <v>895</v>
      </c>
      <c r="G160" s="831" t="s">
        <v>895</v>
      </c>
      <c r="H160" s="833"/>
      <c r="I160" s="832"/>
      <c r="J160" s="842"/>
      <c r="K160" s="843"/>
      <c r="L160" s="844"/>
      <c r="M160" s="513"/>
    </row>
    <row r="161" spans="1:12" ht="11.85" customHeight="1">
      <c r="A161" s="740" t="s">
        <v>1405</v>
      </c>
      <c r="B161" s="740"/>
      <c r="L161" s="512" t="s">
        <v>1973</v>
      </c>
    </row>
    <row r="162" spans="1:12" ht="11.1" customHeight="1">
      <c r="A162" s="740" t="s">
        <v>1836</v>
      </c>
      <c r="B162" s="740"/>
    </row>
    <row r="163" spans="1:12" ht="11.85" customHeight="1">
      <c r="A163" s="742" t="s">
        <v>1837</v>
      </c>
      <c r="B163" s="742"/>
      <c r="C163" s="742"/>
      <c r="D163" s="742"/>
      <c r="E163" s="742"/>
      <c r="F163" s="742"/>
      <c r="G163" s="742"/>
      <c r="H163" s="742"/>
    </row>
    <row r="164" spans="1:12" ht="11.85" customHeight="1">
      <c r="A164" s="740" t="s">
        <v>1838</v>
      </c>
      <c r="B164" s="740"/>
    </row>
    <row r="165" spans="1:12" ht="11.85" customHeight="1">
      <c r="A165" s="740" t="s">
        <v>885</v>
      </c>
      <c r="B165" s="740"/>
    </row>
    <row r="166" spans="1:12" ht="5.85" customHeight="1"/>
    <row r="167" spans="1:12" ht="11.1" customHeight="1">
      <c r="A167" s="810" t="s">
        <v>1839</v>
      </c>
      <c r="B167" s="810"/>
      <c r="C167" s="502"/>
      <c r="D167" s="502"/>
      <c r="E167" s="502"/>
      <c r="F167" s="502"/>
      <c r="G167" s="502"/>
      <c r="H167" s="750" t="s">
        <v>887</v>
      </c>
      <c r="I167" s="750"/>
      <c r="J167" s="750"/>
      <c r="K167" s="750"/>
      <c r="L167" s="750"/>
    </row>
    <row r="168" spans="1:12" ht="11.1" customHeight="1">
      <c r="A168" s="511"/>
      <c r="B168" s="511"/>
      <c r="C168" s="511"/>
      <c r="D168" s="511"/>
      <c r="E168" s="511"/>
      <c r="F168" s="511"/>
      <c r="G168" s="511"/>
      <c r="H168" s="511"/>
      <c r="I168" s="511"/>
      <c r="J168" s="511"/>
      <c r="K168" s="511"/>
      <c r="L168" s="511"/>
    </row>
    <row r="169" spans="1:12" ht="23.65" customHeight="1">
      <c r="A169" s="860" t="s">
        <v>1983</v>
      </c>
      <c r="B169" s="860"/>
      <c r="C169" s="860"/>
      <c r="D169" s="860"/>
      <c r="E169" s="860"/>
      <c r="F169" s="860"/>
      <c r="G169" s="860"/>
      <c r="H169" s="860"/>
      <c r="I169" s="860"/>
      <c r="J169" s="860"/>
    </row>
    <row r="170" spans="1:12" ht="5.85" customHeight="1"/>
    <row r="171" spans="1:12" ht="11.1" customHeight="1"/>
    <row r="172" spans="1:12" ht="17.850000000000001" customHeight="1"/>
    <row r="173" spans="1:12" ht="11.85" customHeight="1"/>
    <row r="174" spans="1:12" ht="11.85" customHeight="1"/>
    <row r="178" spans="1:12" ht="11.85" customHeight="1">
      <c r="A178" s="826" t="s">
        <v>1913</v>
      </c>
      <c r="B178" s="826"/>
      <c r="C178" s="826"/>
      <c r="D178" s="826"/>
      <c r="E178" s="826"/>
      <c r="F178" s="826"/>
      <c r="G178" s="826"/>
      <c r="H178" s="826"/>
      <c r="I178" s="826"/>
      <c r="J178" s="826"/>
      <c r="K178" s="826"/>
      <c r="L178" s="826"/>
    </row>
  </sheetData>
  <mergeCells count="296">
    <mergeCell ref="D160:E160"/>
    <mergeCell ref="G160:I160"/>
    <mergeCell ref="J160:L160"/>
    <mergeCell ref="A169:J169"/>
    <mergeCell ref="A178:L178"/>
    <mergeCell ref="B158:C158"/>
    <mergeCell ref="D158:E158"/>
    <mergeCell ref="G158:I158"/>
    <mergeCell ref="J158:L158"/>
    <mergeCell ref="B159:C159"/>
    <mergeCell ref="D159:E159"/>
    <mergeCell ref="G159:I159"/>
    <mergeCell ref="J159:L159"/>
    <mergeCell ref="A163:H163"/>
    <mergeCell ref="A164:B164"/>
    <mergeCell ref="A165:B165"/>
    <mergeCell ref="A167:B167"/>
    <mergeCell ref="H167:L167"/>
    <mergeCell ref="A149:L149"/>
    <mergeCell ref="B150:C150"/>
    <mergeCell ref="D150:L150"/>
    <mergeCell ref="B151:C151"/>
    <mergeCell ref="D151:L151"/>
    <mergeCell ref="B152:C152"/>
    <mergeCell ref="D152:L152"/>
    <mergeCell ref="A161:B161"/>
    <mergeCell ref="A162:B162"/>
    <mergeCell ref="B156:C156"/>
    <mergeCell ref="D156:E156"/>
    <mergeCell ref="G156:I156"/>
    <mergeCell ref="J156:L156"/>
    <mergeCell ref="B157:C157"/>
    <mergeCell ref="D157:E157"/>
    <mergeCell ref="G157:I157"/>
    <mergeCell ref="J157:L157"/>
    <mergeCell ref="B153:C153"/>
    <mergeCell ref="D153:L153"/>
    <mergeCell ref="B155:C155"/>
    <mergeCell ref="D155:E155"/>
    <mergeCell ref="G155:I155"/>
    <mergeCell ref="J155:L155"/>
    <mergeCell ref="B160:C160"/>
    <mergeCell ref="B148:C148"/>
    <mergeCell ref="D148:E148"/>
    <mergeCell ref="G148:I148"/>
    <mergeCell ref="J148:L148"/>
    <mergeCell ref="B146:C146"/>
    <mergeCell ref="D146:E146"/>
    <mergeCell ref="G146:I146"/>
    <mergeCell ref="J146:L146"/>
    <mergeCell ref="B147:C147"/>
    <mergeCell ref="D147:E147"/>
    <mergeCell ref="G147:I147"/>
    <mergeCell ref="J147:L147"/>
    <mergeCell ref="B144:C144"/>
    <mergeCell ref="D144:E144"/>
    <mergeCell ref="G144:I144"/>
    <mergeCell ref="J144:L144"/>
    <mergeCell ref="B145:C145"/>
    <mergeCell ref="D145:E145"/>
    <mergeCell ref="G145:I145"/>
    <mergeCell ref="J145:L145"/>
    <mergeCell ref="B142:C142"/>
    <mergeCell ref="D142:E142"/>
    <mergeCell ref="G142:I142"/>
    <mergeCell ref="J142:L142"/>
    <mergeCell ref="B143:C143"/>
    <mergeCell ref="D143:E143"/>
    <mergeCell ref="G143:I143"/>
    <mergeCell ref="J143:L143"/>
    <mergeCell ref="A137:L137"/>
    <mergeCell ref="B138:C138"/>
    <mergeCell ref="D138:L138"/>
    <mergeCell ref="B139:C139"/>
    <mergeCell ref="D139:L139"/>
    <mergeCell ref="B140:C140"/>
    <mergeCell ref="D140:L140"/>
    <mergeCell ref="A130:B130"/>
    <mergeCell ref="A132:B132"/>
    <mergeCell ref="H132:L132"/>
    <mergeCell ref="B133:L133"/>
    <mergeCell ref="B134:L134"/>
    <mergeCell ref="B135:L135"/>
    <mergeCell ref="A125:L125"/>
    <mergeCell ref="A126:B126"/>
    <mergeCell ref="A127:B127"/>
    <mergeCell ref="A128:H128"/>
    <mergeCell ref="A129:B129"/>
    <mergeCell ref="B123:C123"/>
    <mergeCell ref="D123:E123"/>
    <mergeCell ref="G123:I123"/>
    <mergeCell ref="J123:L123"/>
    <mergeCell ref="B124:C124"/>
    <mergeCell ref="D124:E124"/>
    <mergeCell ref="G124:I124"/>
    <mergeCell ref="J124:L124"/>
    <mergeCell ref="B121:C121"/>
    <mergeCell ref="D121:E121"/>
    <mergeCell ref="G121:I121"/>
    <mergeCell ref="J121:L121"/>
    <mergeCell ref="B122:C122"/>
    <mergeCell ref="D122:E122"/>
    <mergeCell ref="G122:I122"/>
    <mergeCell ref="J122:L122"/>
    <mergeCell ref="B119:C119"/>
    <mergeCell ref="D119:E119"/>
    <mergeCell ref="G119:I119"/>
    <mergeCell ref="J119:L119"/>
    <mergeCell ref="B120:C120"/>
    <mergeCell ref="D120:E120"/>
    <mergeCell ref="G120:I120"/>
    <mergeCell ref="J120:L120"/>
    <mergeCell ref="B117:C117"/>
    <mergeCell ref="D117:E117"/>
    <mergeCell ref="G117:I117"/>
    <mergeCell ref="J117:L117"/>
    <mergeCell ref="B118:C118"/>
    <mergeCell ref="D118:E118"/>
    <mergeCell ref="G118:I118"/>
    <mergeCell ref="J118:L118"/>
    <mergeCell ref="B114:C114"/>
    <mergeCell ref="D114:L114"/>
    <mergeCell ref="B116:C116"/>
    <mergeCell ref="D116:E116"/>
    <mergeCell ref="G116:I116"/>
    <mergeCell ref="J116:L116"/>
    <mergeCell ref="B111:C111"/>
    <mergeCell ref="D111:L111"/>
    <mergeCell ref="B112:C112"/>
    <mergeCell ref="D112:L112"/>
    <mergeCell ref="B113:C113"/>
    <mergeCell ref="D113:L113"/>
    <mergeCell ref="B108:C108"/>
    <mergeCell ref="D108:L108"/>
    <mergeCell ref="B109:C109"/>
    <mergeCell ref="D109:L109"/>
    <mergeCell ref="B110:C110"/>
    <mergeCell ref="D110:L110"/>
    <mergeCell ref="B105:C105"/>
    <mergeCell ref="D105:L105"/>
    <mergeCell ref="B106:C106"/>
    <mergeCell ref="D106:L106"/>
    <mergeCell ref="B107:C107"/>
    <mergeCell ref="D107:L107"/>
    <mergeCell ref="B102:C102"/>
    <mergeCell ref="D102:L102"/>
    <mergeCell ref="B103:C103"/>
    <mergeCell ref="D103:L103"/>
    <mergeCell ref="B104:C104"/>
    <mergeCell ref="D104:L104"/>
    <mergeCell ref="B99:C99"/>
    <mergeCell ref="D99:L99"/>
    <mergeCell ref="B100:C100"/>
    <mergeCell ref="D100:L100"/>
    <mergeCell ref="B101:C101"/>
    <mergeCell ref="D101:L101"/>
    <mergeCell ref="B96:C96"/>
    <mergeCell ref="D96:L96"/>
    <mergeCell ref="B97:C97"/>
    <mergeCell ref="D97:L97"/>
    <mergeCell ref="B98:C98"/>
    <mergeCell ref="D98:L98"/>
    <mergeCell ref="B93:C93"/>
    <mergeCell ref="D93:L93"/>
    <mergeCell ref="B94:C94"/>
    <mergeCell ref="D94:L94"/>
    <mergeCell ref="B95:C95"/>
    <mergeCell ref="D95:L95"/>
    <mergeCell ref="A89:B89"/>
    <mergeCell ref="A90:B90"/>
    <mergeCell ref="H90:L90"/>
    <mergeCell ref="A91:L91"/>
    <mergeCell ref="B92:C92"/>
    <mergeCell ref="D92:L92"/>
    <mergeCell ref="B77:L77"/>
    <mergeCell ref="B78:L78"/>
    <mergeCell ref="A79:L79"/>
    <mergeCell ref="A87:B87"/>
    <mergeCell ref="A88:H88"/>
    <mergeCell ref="B71:L71"/>
    <mergeCell ref="B72:L72"/>
    <mergeCell ref="B73:L73"/>
    <mergeCell ref="A74:M74"/>
    <mergeCell ref="B75:L75"/>
    <mergeCell ref="B76:L76"/>
    <mergeCell ref="A68:M68"/>
    <mergeCell ref="B69:L69"/>
    <mergeCell ref="B70:L70"/>
    <mergeCell ref="A53:B53"/>
    <mergeCell ref="H53:L53"/>
    <mergeCell ref="B63:L63"/>
    <mergeCell ref="M63:M64"/>
    <mergeCell ref="B64:L64"/>
    <mergeCell ref="A65:M65"/>
    <mergeCell ref="B62:C62"/>
    <mergeCell ref="D62:E62"/>
    <mergeCell ref="G62:I62"/>
    <mergeCell ref="J62:L62"/>
    <mergeCell ref="G58:I58"/>
    <mergeCell ref="J58:L58"/>
    <mergeCell ref="B55:C55"/>
    <mergeCell ref="D55:E55"/>
    <mergeCell ref="G55:I55"/>
    <mergeCell ref="J55:L55"/>
    <mergeCell ref="B56:C56"/>
    <mergeCell ref="D56:E56"/>
    <mergeCell ref="B57:C57"/>
    <mergeCell ref="D57:E57"/>
    <mergeCell ref="G57:I57"/>
    <mergeCell ref="J57:L57"/>
    <mergeCell ref="B58:C58"/>
    <mergeCell ref="D58:E58"/>
    <mergeCell ref="B66:L66"/>
    <mergeCell ref="M66:M67"/>
    <mergeCell ref="B67:L67"/>
    <mergeCell ref="B61:C61"/>
    <mergeCell ref="D61:E61"/>
    <mergeCell ref="G61:I61"/>
    <mergeCell ref="J61:L61"/>
    <mergeCell ref="B59:C59"/>
    <mergeCell ref="D59:E59"/>
    <mergeCell ref="G59:I59"/>
    <mergeCell ref="J59:L59"/>
    <mergeCell ref="B60:C60"/>
    <mergeCell ref="D60:E60"/>
    <mergeCell ref="G60:I60"/>
    <mergeCell ref="J60:L60"/>
    <mergeCell ref="G56:I56"/>
    <mergeCell ref="J56:L56"/>
    <mergeCell ref="B33:D33"/>
    <mergeCell ref="E33:L33"/>
    <mergeCell ref="B54:C54"/>
    <mergeCell ref="D54:E54"/>
    <mergeCell ref="G54:I54"/>
    <mergeCell ref="J54:L54"/>
    <mergeCell ref="B30:D30"/>
    <mergeCell ref="E30:L30"/>
    <mergeCell ref="B31:D31"/>
    <mergeCell ref="E31:L31"/>
    <mergeCell ref="B32:D32"/>
    <mergeCell ref="E32:L32"/>
    <mergeCell ref="A36:L36"/>
    <mergeCell ref="A48:B48"/>
    <mergeCell ref="A49:B49"/>
    <mergeCell ref="A50:H50"/>
    <mergeCell ref="A51:B51"/>
    <mergeCell ref="A52:B52"/>
    <mergeCell ref="B27:D27"/>
    <mergeCell ref="E27:L27"/>
    <mergeCell ref="B28:D28"/>
    <mergeCell ref="E28:L28"/>
    <mergeCell ref="B29:D29"/>
    <mergeCell ref="E29:L29"/>
    <mergeCell ref="B24:D24"/>
    <mergeCell ref="E24:L24"/>
    <mergeCell ref="B25:D25"/>
    <mergeCell ref="E25:L25"/>
    <mergeCell ref="B26:D26"/>
    <mergeCell ref="E26:L26"/>
    <mergeCell ref="B21:D21"/>
    <mergeCell ref="E21:L21"/>
    <mergeCell ref="B22:D22"/>
    <mergeCell ref="E22:L22"/>
    <mergeCell ref="B23:D23"/>
    <mergeCell ref="E23:L23"/>
    <mergeCell ref="B18:D18"/>
    <mergeCell ref="E18:L18"/>
    <mergeCell ref="B19:D19"/>
    <mergeCell ref="E19:L19"/>
    <mergeCell ref="B20:D20"/>
    <mergeCell ref="E20:L20"/>
    <mergeCell ref="B15:D15"/>
    <mergeCell ref="E15:L15"/>
    <mergeCell ref="B16:D16"/>
    <mergeCell ref="E16:L16"/>
    <mergeCell ref="B17:D17"/>
    <mergeCell ref="E17:L17"/>
    <mergeCell ref="B12:D12"/>
    <mergeCell ref="E12:L12"/>
    <mergeCell ref="B13:D13"/>
    <mergeCell ref="E13:L13"/>
    <mergeCell ref="B14:D14"/>
    <mergeCell ref="E14:L14"/>
    <mergeCell ref="A8:L8"/>
    <mergeCell ref="A9:L9"/>
    <mergeCell ref="B10:D10"/>
    <mergeCell ref="E10:L10"/>
    <mergeCell ref="B11:D11"/>
    <mergeCell ref="E11:L11"/>
    <mergeCell ref="A1:B1"/>
    <mergeCell ref="A2:B2"/>
    <mergeCell ref="A3:H3"/>
    <mergeCell ref="A4:B4"/>
    <mergeCell ref="A5:B5"/>
    <mergeCell ref="A7:B7"/>
    <mergeCell ref="H7:L7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131"/>
  <sheetViews>
    <sheetView topLeftCell="A97" workbookViewId="0">
      <selection activeCell="A142" sqref="A142"/>
    </sheetView>
  </sheetViews>
  <sheetFormatPr defaultRowHeight="15"/>
  <cols>
    <col min="1" max="1" width="22.5703125" customWidth="1"/>
    <col min="2" max="2" width="5" customWidth="1"/>
    <col min="3" max="3" width="9.140625" customWidth="1"/>
    <col min="4" max="4" width="3" customWidth="1"/>
    <col min="5" max="5" width="6.140625" customWidth="1"/>
    <col min="6" max="6" width="9.140625" customWidth="1"/>
    <col min="7" max="7" width="8.140625" customWidth="1"/>
    <col min="8" max="8" width="0.85546875" customWidth="1"/>
    <col min="9" max="9" width="5.140625" customWidth="1"/>
    <col min="10" max="10" width="4" customWidth="1"/>
    <col min="11" max="11" width="7" customWidth="1"/>
    <col min="12" max="12" width="2" customWidth="1"/>
    <col min="13" max="13" width="9.140625" customWidth="1"/>
  </cols>
  <sheetData>
    <row r="1" spans="1:13" ht="11.85" customHeight="1">
      <c r="A1" s="861" t="s">
        <v>1405</v>
      </c>
      <c r="B1" s="861"/>
      <c r="C1" s="861"/>
      <c r="D1" s="861"/>
      <c r="L1" s="862" t="s">
        <v>1406</v>
      </c>
      <c r="M1" s="862"/>
    </row>
    <row r="2" spans="1:13" ht="11.1" customHeight="1">
      <c r="A2" s="861" t="s">
        <v>882</v>
      </c>
      <c r="B2" s="861"/>
      <c r="C2" s="861"/>
      <c r="D2" s="861"/>
    </row>
    <row r="3" spans="1:13" ht="11.85" customHeight="1">
      <c r="A3" s="863" t="s">
        <v>1984</v>
      </c>
      <c r="B3" s="863"/>
      <c r="C3" s="863"/>
      <c r="D3" s="863"/>
    </row>
    <row r="4" spans="1:13" ht="11.85" customHeight="1">
      <c r="A4" s="861" t="s">
        <v>1310</v>
      </c>
      <c r="B4" s="861"/>
      <c r="C4" s="861"/>
      <c r="D4" s="861"/>
    </row>
    <row r="5" spans="1:13" ht="11.85" customHeight="1">
      <c r="A5" s="861" t="s">
        <v>885</v>
      </c>
      <c r="B5" s="861"/>
      <c r="C5" s="861"/>
      <c r="D5" s="861"/>
    </row>
    <row r="6" spans="1:13" ht="5.85" customHeight="1"/>
    <row r="7" spans="1:13" ht="11.1" customHeight="1">
      <c r="A7" s="539" t="s">
        <v>1985</v>
      </c>
      <c r="B7" s="502"/>
      <c r="C7" s="502"/>
      <c r="D7" s="502"/>
      <c r="E7" s="502"/>
      <c r="F7" s="502"/>
      <c r="G7" s="502"/>
      <c r="H7" s="502"/>
      <c r="I7" s="502"/>
      <c r="J7" s="874" t="s">
        <v>1312</v>
      </c>
      <c r="K7" s="874"/>
      <c r="L7" s="874"/>
      <c r="M7" s="874"/>
    </row>
    <row r="8" spans="1:13" ht="11.85" customHeight="1">
      <c r="A8" s="875" t="s">
        <v>1986</v>
      </c>
      <c r="B8" s="876"/>
      <c r="C8" s="876"/>
      <c r="D8" s="876"/>
      <c r="E8" s="876"/>
      <c r="F8" s="876"/>
      <c r="G8" s="876"/>
      <c r="H8" s="876"/>
      <c r="I8" s="876"/>
      <c r="J8" s="876"/>
      <c r="K8" s="876"/>
      <c r="L8" s="876"/>
      <c r="M8" s="877"/>
    </row>
    <row r="9" spans="1:13" ht="11.85" customHeight="1">
      <c r="A9" s="875" t="s">
        <v>1987</v>
      </c>
      <c r="B9" s="878"/>
      <c r="C9" s="883" t="s">
        <v>892</v>
      </c>
      <c r="D9" s="886" t="s">
        <v>1988</v>
      </c>
      <c r="E9" s="887"/>
      <c r="F9" s="887"/>
      <c r="G9" s="887"/>
      <c r="H9" s="887"/>
      <c r="I9" s="887"/>
      <c r="J9" s="887"/>
      <c r="K9" s="887"/>
      <c r="L9" s="887"/>
      <c r="M9" s="888"/>
    </row>
    <row r="10" spans="1:13" ht="11.85" customHeight="1">
      <c r="A10" s="879"/>
      <c r="B10" s="880"/>
      <c r="C10" s="884"/>
      <c r="D10" s="889" t="s">
        <v>893</v>
      </c>
      <c r="E10" s="890"/>
      <c r="F10" s="890"/>
      <c r="G10" s="890"/>
      <c r="H10" s="890"/>
      <c r="I10" s="890"/>
      <c r="J10" s="890"/>
      <c r="K10" s="890"/>
      <c r="L10" s="890"/>
      <c r="M10" s="891"/>
    </row>
    <row r="11" spans="1:13" ht="5.0999999999999996" customHeight="1">
      <c r="A11" s="881"/>
      <c r="B11" s="882"/>
      <c r="C11" s="885"/>
      <c r="D11" s="892" t="s">
        <v>922</v>
      </c>
      <c r="E11" s="893"/>
      <c r="F11" s="893"/>
      <c r="G11" s="893"/>
      <c r="H11" s="893"/>
      <c r="I11" s="893"/>
      <c r="J11" s="893"/>
      <c r="K11" s="893"/>
      <c r="L11" s="893"/>
      <c r="M11" s="894"/>
    </row>
    <row r="12" spans="1:13" ht="11.85" customHeight="1">
      <c r="A12" s="864" t="s">
        <v>1989</v>
      </c>
      <c r="B12" s="865"/>
      <c r="C12" s="540" t="s">
        <v>1990</v>
      </c>
      <c r="D12" s="866" t="s">
        <v>1991</v>
      </c>
      <c r="E12" s="867"/>
      <c r="F12" s="867"/>
      <c r="G12" s="867"/>
      <c r="H12" s="867"/>
      <c r="I12" s="867"/>
      <c r="J12" s="867"/>
      <c r="K12" s="867"/>
      <c r="L12" s="867"/>
      <c r="M12" s="868"/>
    </row>
    <row r="13" spans="1:13" ht="11.85" customHeight="1">
      <c r="A13" s="869" t="s">
        <v>1441</v>
      </c>
      <c r="B13" s="870"/>
      <c r="C13" s="541" t="s">
        <v>1449</v>
      </c>
      <c r="D13" s="871" t="s">
        <v>1992</v>
      </c>
      <c r="E13" s="872"/>
      <c r="F13" s="872"/>
      <c r="G13" s="872"/>
      <c r="H13" s="872"/>
      <c r="I13" s="872"/>
      <c r="J13" s="872"/>
      <c r="K13" s="872"/>
      <c r="L13" s="872"/>
      <c r="M13" s="873"/>
    </row>
    <row r="14" spans="1:13" ht="11.85" customHeight="1">
      <c r="A14" s="869" t="s">
        <v>215</v>
      </c>
      <c r="B14" s="870"/>
      <c r="C14" s="541" t="s">
        <v>1463</v>
      </c>
      <c r="D14" s="871" t="s">
        <v>1993</v>
      </c>
      <c r="E14" s="872"/>
      <c r="F14" s="872"/>
      <c r="G14" s="872"/>
      <c r="H14" s="872"/>
      <c r="I14" s="872"/>
      <c r="J14" s="872"/>
      <c r="K14" s="872"/>
      <c r="L14" s="872"/>
      <c r="M14" s="873"/>
    </row>
    <row r="15" spans="1:13" ht="11.1" customHeight="1">
      <c r="A15" s="869" t="s">
        <v>1470</v>
      </c>
      <c r="B15" s="870"/>
      <c r="C15" s="541" t="s">
        <v>1478</v>
      </c>
      <c r="D15" s="871" t="s">
        <v>1994</v>
      </c>
      <c r="E15" s="872"/>
      <c r="F15" s="872"/>
      <c r="G15" s="872"/>
      <c r="H15" s="872"/>
      <c r="I15" s="872"/>
      <c r="J15" s="872"/>
      <c r="K15" s="872"/>
      <c r="L15" s="872"/>
      <c r="M15" s="873"/>
    </row>
    <row r="16" spans="1:13" ht="11.85" customHeight="1">
      <c r="A16" s="869" t="s">
        <v>217</v>
      </c>
      <c r="B16" s="870"/>
      <c r="C16" s="541" t="s">
        <v>1492</v>
      </c>
      <c r="D16" s="871" t="s">
        <v>1995</v>
      </c>
      <c r="E16" s="872"/>
      <c r="F16" s="872"/>
      <c r="G16" s="872"/>
      <c r="H16" s="872"/>
      <c r="I16" s="872"/>
      <c r="J16" s="872"/>
      <c r="K16" s="872"/>
      <c r="L16" s="872"/>
      <c r="M16" s="873"/>
    </row>
    <row r="17" spans="1:13" ht="11.85" customHeight="1">
      <c r="A17" s="869" t="s">
        <v>213</v>
      </c>
      <c r="B17" s="870"/>
      <c r="C17" s="541" t="s">
        <v>1506</v>
      </c>
      <c r="D17" s="871" t="s">
        <v>1996</v>
      </c>
      <c r="E17" s="872"/>
      <c r="F17" s="872"/>
      <c r="G17" s="872"/>
      <c r="H17" s="872"/>
      <c r="I17" s="872"/>
      <c r="J17" s="872"/>
      <c r="K17" s="872"/>
      <c r="L17" s="872"/>
      <c r="M17" s="873"/>
    </row>
    <row r="18" spans="1:13" ht="11.85" customHeight="1">
      <c r="A18" s="869" t="s">
        <v>1997</v>
      </c>
      <c r="B18" s="870"/>
      <c r="C18" s="541" t="s">
        <v>1521</v>
      </c>
      <c r="D18" s="871" t="s">
        <v>1998</v>
      </c>
      <c r="E18" s="872"/>
      <c r="F18" s="872"/>
      <c r="G18" s="872"/>
      <c r="H18" s="872"/>
      <c r="I18" s="872"/>
      <c r="J18" s="872"/>
      <c r="K18" s="872"/>
      <c r="L18" s="872"/>
      <c r="M18" s="873"/>
    </row>
    <row r="19" spans="1:13" ht="11.1" customHeight="1">
      <c r="A19" s="869" t="s">
        <v>1528</v>
      </c>
      <c r="B19" s="870"/>
      <c r="C19" s="541" t="s">
        <v>1536</v>
      </c>
      <c r="D19" s="871" t="s">
        <v>1999</v>
      </c>
      <c r="E19" s="872"/>
      <c r="F19" s="872"/>
      <c r="G19" s="872"/>
      <c r="H19" s="872"/>
      <c r="I19" s="872"/>
      <c r="J19" s="872"/>
      <c r="K19" s="872"/>
      <c r="L19" s="872"/>
      <c r="M19" s="873"/>
    </row>
    <row r="20" spans="1:13" ht="11.85" customHeight="1">
      <c r="A20" s="869" t="s">
        <v>1543</v>
      </c>
      <c r="B20" s="870"/>
      <c r="C20" s="541" t="s">
        <v>1551</v>
      </c>
      <c r="D20" s="871" t="s">
        <v>2000</v>
      </c>
      <c r="E20" s="872"/>
      <c r="F20" s="872"/>
      <c r="G20" s="872"/>
      <c r="H20" s="872"/>
      <c r="I20" s="872"/>
      <c r="J20" s="872"/>
      <c r="K20" s="872"/>
      <c r="L20" s="872"/>
      <c r="M20" s="873"/>
    </row>
    <row r="21" spans="1:13" ht="11.85" customHeight="1">
      <c r="A21" s="869" t="s">
        <v>2001</v>
      </c>
      <c r="B21" s="870"/>
      <c r="C21" s="541" t="s">
        <v>1566</v>
      </c>
      <c r="D21" s="871" t="s">
        <v>2002</v>
      </c>
      <c r="E21" s="872"/>
      <c r="F21" s="872"/>
      <c r="G21" s="872"/>
      <c r="H21" s="872"/>
      <c r="I21" s="872"/>
      <c r="J21" s="872"/>
      <c r="K21" s="872"/>
      <c r="L21" s="872"/>
      <c r="M21" s="873"/>
    </row>
    <row r="22" spans="1:13" ht="11.85" customHeight="1">
      <c r="A22" s="869" t="s">
        <v>1573</v>
      </c>
      <c r="B22" s="870"/>
      <c r="C22" s="541" t="s">
        <v>1581</v>
      </c>
      <c r="D22" s="871" t="s">
        <v>2003</v>
      </c>
      <c r="E22" s="872"/>
      <c r="F22" s="872"/>
      <c r="G22" s="872"/>
      <c r="H22" s="872"/>
      <c r="I22" s="872"/>
      <c r="J22" s="872"/>
      <c r="K22" s="872"/>
      <c r="L22" s="872"/>
      <c r="M22" s="873"/>
    </row>
    <row r="23" spans="1:13" ht="11.1" customHeight="1">
      <c r="A23" s="869" t="s">
        <v>1617</v>
      </c>
      <c r="B23" s="870"/>
      <c r="C23" s="541" t="s">
        <v>2004</v>
      </c>
      <c r="D23" s="871" t="s">
        <v>2005</v>
      </c>
      <c r="E23" s="872"/>
      <c r="F23" s="872"/>
      <c r="G23" s="872"/>
      <c r="H23" s="872"/>
      <c r="I23" s="872"/>
      <c r="J23" s="872"/>
      <c r="K23" s="872"/>
      <c r="L23" s="872"/>
      <c r="M23" s="873"/>
    </row>
    <row r="24" spans="1:13" ht="11.85" customHeight="1">
      <c r="A24" s="869" t="s">
        <v>1632</v>
      </c>
      <c r="B24" s="870"/>
      <c r="C24" s="541" t="s">
        <v>2006</v>
      </c>
      <c r="D24" s="871" t="s">
        <v>2007</v>
      </c>
      <c r="E24" s="872"/>
      <c r="F24" s="872"/>
      <c r="G24" s="872"/>
      <c r="H24" s="872"/>
      <c r="I24" s="872"/>
      <c r="J24" s="872"/>
      <c r="K24" s="872"/>
      <c r="L24" s="872"/>
      <c r="M24" s="873"/>
    </row>
    <row r="25" spans="1:13" ht="11.85" customHeight="1">
      <c r="A25" s="869" t="s">
        <v>1647</v>
      </c>
      <c r="B25" s="870"/>
      <c r="C25" s="541" t="s">
        <v>2008</v>
      </c>
      <c r="D25" s="871" t="s">
        <v>2009</v>
      </c>
      <c r="E25" s="872"/>
      <c r="F25" s="872"/>
      <c r="G25" s="872"/>
      <c r="H25" s="872"/>
      <c r="I25" s="872"/>
      <c r="J25" s="872"/>
      <c r="K25" s="872"/>
      <c r="L25" s="872"/>
      <c r="M25" s="873"/>
    </row>
    <row r="26" spans="1:13" ht="11.85" customHeight="1">
      <c r="A26" s="869" t="s">
        <v>1662</v>
      </c>
      <c r="B26" s="870"/>
      <c r="C26" s="541" t="s">
        <v>2010</v>
      </c>
      <c r="D26" s="871" t="s">
        <v>2011</v>
      </c>
      <c r="E26" s="872"/>
      <c r="F26" s="872"/>
      <c r="G26" s="872"/>
      <c r="H26" s="872"/>
      <c r="I26" s="872"/>
      <c r="J26" s="872"/>
      <c r="K26" s="872"/>
      <c r="L26" s="872"/>
      <c r="M26" s="873"/>
    </row>
    <row r="27" spans="1:13" ht="11.1" customHeight="1">
      <c r="A27" s="869" t="s">
        <v>1679</v>
      </c>
      <c r="B27" s="870"/>
      <c r="C27" s="541" t="s">
        <v>2012</v>
      </c>
      <c r="D27" s="871" t="s">
        <v>2013</v>
      </c>
      <c r="E27" s="872"/>
      <c r="F27" s="872"/>
      <c r="G27" s="872"/>
      <c r="H27" s="872"/>
      <c r="I27" s="872"/>
      <c r="J27" s="872"/>
      <c r="K27" s="872"/>
      <c r="L27" s="872"/>
      <c r="M27" s="873"/>
    </row>
    <row r="28" spans="1:13" ht="11.85" customHeight="1">
      <c r="A28" s="869" t="s">
        <v>1694</v>
      </c>
      <c r="B28" s="870"/>
      <c r="C28" s="541" t="s">
        <v>2014</v>
      </c>
      <c r="D28" s="871" t="s">
        <v>895</v>
      </c>
      <c r="E28" s="872"/>
      <c r="F28" s="872"/>
      <c r="G28" s="872"/>
      <c r="H28" s="872"/>
      <c r="I28" s="872"/>
      <c r="J28" s="872"/>
      <c r="K28" s="872"/>
      <c r="L28" s="872"/>
      <c r="M28" s="873"/>
    </row>
    <row r="29" spans="1:13" ht="11.85" customHeight="1">
      <c r="A29" s="869" t="s">
        <v>1697</v>
      </c>
      <c r="B29" s="870"/>
      <c r="C29" s="541" t="s">
        <v>2015</v>
      </c>
      <c r="D29" s="871" t="s">
        <v>2016</v>
      </c>
      <c r="E29" s="872"/>
      <c r="F29" s="872"/>
      <c r="G29" s="872"/>
      <c r="H29" s="872"/>
      <c r="I29" s="872"/>
      <c r="J29" s="872"/>
      <c r="K29" s="872"/>
      <c r="L29" s="872"/>
      <c r="M29" s="873"/>
    </row>
    <row r="30" spans="1:13" ht="11.85" customHeight="1">
      <c r="A30" s="869" t="s">
        <v>1712</v>
      </c>
      <c r="B30" s="870"/>
      <c r="C30" s="541" t="s">
        <v>1720</v>
      </c>
      <c r="D30" s="871" t="s">
        <v>2017</v>
      </c>
      <c r="E30" s="872"/>
      <c r="F30" s="872"/>
      <c r="G30" s="872"/>
      <c r="H30" s="872"/>
      <c r="I30" s="872"/>
      <c r="J30" s="872"/>
      <c r="K30" s="872"/>
      <c r="L30" s="872"/>
      <c r="M30" s="873"/>
    </row>
    <row r="31" spans="1:13" ht="11.1" customHeight="1">
      <c r="A31" s="869" t="s">
        <v>1727</v>
      </c>
      <c r="B31" s="870"/>
      <c r="C31" s="541" t="s">
        <v>1735</v>
      </c>
      <c r="D31" s="871" t="s">
        <v>2018</v>
      </c>
      <c r="E31" s="872"/>
      <c r="F31" s="872"/>
      <c r="G31" s="872"/>
      <c r="H31" s="872"/>
      <c r="I31" s="872"/>
      <c r="J31" s="872"/>
      <c r="K31" s="872"/>
      <c r="L31" s="872"/>
      <c r="M31" s="873"/>
    </row>
    <row r="32" spans="1:13" ht="11.85" customHeight="1">
      <c r="A32" s="869" t="s">
        <v>1879</v>
      </c>
      <c r="B32" s="870"/>
      <c r="C32" s="541" t="s">
        <v>2019</v>
      </c>
      <c r="D32" s="871" t="s">
        <v>2020</v>
      </c>
      <c r="E32" s="872"/>
      <c r="F32" s="872"/>
      <c r="G32" s="872"/>
      <c r="H32" s="872"/>
      <c r="I32" s="872"/>
      <c r="J32" s="872"/>
      <c r="K32" s="872"/>
      <c r="L32" s="872"/>
      <c r="M32" s="873"/>
    </row>
    <row r="33" spans="1:13" ht="11.85" customHeight="1">
      <c r="A33" s="869" t="s">
        <v>2021</v>
      </c>
      <c r="B33" s="870"/>
      <c r="C33" s="541" t="s">
        <v>2022</v>
      </c>
      <c r="D33" s="871" t="s">
        <v>2023</v>
      </c>
      <c r="E33" s="872"/>
      <c r="F33" s="872"/>
      <c r="G33" s="872"/>
      <c r="H33" s="872"/>
      <c r="I33" s="872"/>
      <c r="J33" s="872"/>
      <c r="K33" s="872"/>
      <c r="L33" s="872"/>
      <c r="M33" s="873"/>
    </row>
    <row r="34" spans="1:13" ht="11.85" customHeight="1">
      <c r="A34" s="869" t="s">
        <v>2024</v>
      </c>
      <c r="B34" s="870"/>
      <c r="C34" s="541" t="s">
        <v>2025</v>
      </c>
      <c r="D34" s="871" t="s">
        <v>2026</v>
      </c>
      <c r="E34" s="872"/>
      <c r="F34" s="872"/>
      <c r="G34" s="872"/>
      <c r="H34" s="872"/>
      <c r="I34" s="872"/>
      <c r="J34" s="872"/>
      <c r="K34" s="872"/>
      <c r="L34" s="872"/>
      <c r="M34" s="873"/>
    </row>
    <row r="35" spans="1:13" ht="11.1" customHeight="1">
      <c r="A35" s="869" t="s">
        <v>2027</v>
      </c>
      <c r="B35" s="870"/>
      <c r="C35" s="541" t="s">
        <v>2028</v>
      </c>
      <c r="D35" s="871" t="s">
        <v>2029</v>
      </c>
      <c r="E35" s="872"/>
      <c r="F35" s="872"/>
      <c r="G35" s="872"/>
      <c r="H35" s="872"/>
      <c r="I35" s="872"/>
      <c r="J35" s="872"/>
      <c r="K35" s="872"/>
      <c r="L35" s="872"/>
      <c r="M35" s="873"/>
    </row>
    <row r="36" spans="1:13" ht="11.85" customHeight="1">
      <c r="A36" s="869" t="s">
        <v>2030</v>
      </c>
      <c r="B36" s="870"/>
      <c r="C36" s="541" t="s">
        <v>2031</v>
      </c>
      <c r="D36" s="871" t="s">
        <v>2032</v>
      </c>
      <c r="E36" s="872"/>
      <c r="F36" s="872"/>
      <c r="G36" s="872"/>
      <c r="H36" s="872"/>
      <c r="I36" s="872"/>
      <c r="J36" s="872"/>
      <c r="K36" s="872"/>
      <c r="L36" s="872"/>
      <c r="M36" s="873"/>
    </row>
    <row r="37" spans="1:13" ht="11.85" customHeight="1">
      <c r="A37" s="869" t="s">
        <v>2033</v>
      </c>
      <c r="B37" s="870"/>
      <c r="C37" s="541" t="s">
        <v>895</v>
      </c>
      <c r="D37" s="871" t="s">
        <v>895</v>
      </c>
      <c r="E37" s="872"/>
      <c r="F37" s="872"/>
      <c r="G37" s="872"/>
      <c r="H37" s="872"/>
      <c r="I37" s="872"/>
      <c r="J37" s="872"/>
      <c r="K37" s="872"/>
      <c r="L37" s="872"/>
      <c r="M37" s="873"/>
    </row>
    <row r="38" spans="1:13" ht="11.85" customHeight="1">
      <c r="A38" s="869" t="s">
        <v>2034</v>
      </c>
      <c r="B38" s="870"/>
      <c r="C38" s="541" t="s">
        <v>2035</v>
      </c>
      <c r="D38" s="871" t="s">
        <v>2036</v>
      </c>
      <c r="E38" s="872"/>
      <c r="F38" s="872"/>
      <c r="G38" s="872"/>
      <c r="H38" s="872"/>
      <c r="I38" s="872"/>
      <c r="J38" s="872"/>
      <c r="K38" s="872"/>
      <c r="L38" s="872"/>
      <c r="M38" s="873"/>
    </row>
    <row r="39" spans="1:13" ht="11.1" customHeight="1">
      <c r="A39" s="869" t="s">
        <v>2037</v>
      </c>
      <c r="B39" s="870"/>
      <c r="C39" s="541" t="s">
        <v>895</v>
      </c>
      <c r="D39" s="871" t="s">
        <v>895</v>
      </c>
      <c r="E39" s="872"/>
      <c r="F39" s="872"/>
      <c r="G39" s="872"/>
      <c r="H39" s="872"/>
      <c r="I39" s="872"/>
      <c r="J39" s="872"/>
      <c r="K39" s="872"/>
      <c r="L39" s="872"/>
      <c r="M39" s="873"/>
    </row>
    <row r="40" spans="1:13" ht="11.85" customHeight="1">
      <c r="A40" s="869" t="s">
        <v>2038</v>
      </c>
      <c r="B40" s="870"/>
      <c r="C40" s="541" t="s">
        <v>895</v>
      </c>
      <c r="D40" s="871" t="s">
        <v>895</v>
      </c>
      <c r="E40" s="872"/>
      <c r="F40" s="872"/>
      <c r="G40" s="872"/>
      <c r="H40" s="872"/>
      <c r="I40" s="872"/>
      <c r="J40" s="872"/>
      <c r="K40" s="872"/>
      <c r="L40" s="872"/>
      <c r="M40" s="873"/>
    </row>
    <row r="41" spans="1:13" ht="11.85" customHeight="1">
      <c r="A41" s="869" t="s">
        <v>2039</v>
      </c>
      <c r="B41" s="870"/>
      <c r="C41" s="541" t="s">
        <v>895</v>
      </c>
      <c r="D41" s="871" t="s">
        <v>895</v>
      </c>
      <c r="E41" s="872"/>
      <c r="F41" s="872"/>
      <c r="G41" s="872"/>
      <c r="H41" s="872"/>
      <c r="I41" s="872"/>
      <c r="J41" s="872"/>
      <c r="K41" s="872"/>
      <c r="L41" s="872"/>
      <c r="M41" s="873"/>
    </row>
    <row r="42" spans="1:13" ht="11.85" customHeight="1">
      <c r="A42" s="869" t="s">
        <v>2040</v>
      </c>
      <c r="B42" s="870"/>
      <c r="C42" s="541" t="s">
        <v>895</v>
      </c>
      <c r="D42" s="871" t="s">
        <v>895</v>
      </c>
      <c r="E42" s="872"/>
      <c r="F42" s="872"/>
      <c r="G42" s="872"/>
      <c r="H42" s="872"/>
      <c r="I42" s="872"/>
      <c r="J42" s="872"/>
      <c r="K42" s="872"/>
      <c r="L42" s="872"/>
      <c r="M42" s="873"/>
    </row>
    <row r="43" spans="1:13" ht="11.1" customHeight="1">
      <c r="A43" s="869" t="s">
        <v>2041</v>
      </c>
      <c r="B43" s="870"/>
      <c r="C43" s="541" t="s">
        <v>2042</v>
      </c>
      <c r="D43" s="871" t="s">
        <v>2043</v>
      </c>
      <c r="E43" s="872"/>
      <c r="F43" s="872"/>
      <c r="G43" s="872"/>
      <c r="H43" s="872"/>
      <c r="I43" s="872"/>
      <c r="J43" s="872"/>
      <c r="K43" s="872"/>
      <c r="L43" s="872"/>
      <c r="M43" s="873"/>
    </row>
    <row r="44" spans="1:13" ht="11.85" customHeight="1">
      <c r="A44" s="869" t="s">
        <v>2044</v>
      </c>
      <c r="B44" s="870"/>
      <c r="C44" s="541" t="s">
        <v>2045</v>
      </c>
      <c r="D44" s="871" t="s">
        <v>2046</v>
      </c>
      <c r="E44" s="872"/>
      <c r="F44" s="872"/>
      <c r="G44" s="872"/>
      <c r="H44" s="872"/>
      <c r="I44" s="872"/>
      <c r="J44" s="872"/>
      <c r="K44" s="872"/>
      <c r="L44" s="872"/>
      <c r="M44" s="873"/>
    </row>
    <row r="45" spans="1:13" ht="11.85" customHeight="1">
      <c r="A45" s="869" t="s">
        <v>2047</v>
      </c>
      <c r="B45" s="870"/>
      <c r="C45" s="541" t="s">
        <v>2048</v>
      </c>
      <c r="D45" s="871" t="s">
        <v>2049</v>
      </c>
      <c r="E45" s="872"/>
      <c r="F45" s="872"/>
      <c r="G45" s="872"/>
      <c r="H45" s="872"/>
      <c r="I45" s="872"/>
      <c r="J45" s="872"/>
      <c r="K45" s="872"/>
      <c r="L45" s="872"/>
      <c r="M45" s="873"/>
    </row>
    <row r="46" spans="1:13" ht="11.85" customHeight="1">
      <c r="A46" s="869" t="s">
        <v>1884</v>
      </c>
      <c r="B46" s="870"/>
      <c r="C46" s="541" t="s">
        <v>2050</v>
      </c>
      <c r="D46" s="871" t="s">
        <v>2051</v>
      </c>
      <c r="E46" s="872"/>
      <c r="F46" s="872"/>
      <c r="G46" s="872"/>
      <c r="H46" s="872"/>
      <c r="I46" s="872"/>
      <c r="J46" s="872"/>
      <c r="K46" s="872"/>
      <c r="L46" s="872"/>
      <c r="M46" s="873"/>
    </row>
    <row r="47" spans="1:13" ht="11.1" customHeight="1">
      <c r="A47" s="869" t="s">
        <v>2052</v>
      </c>
      <c r="B47" s="870"/>
      <c r="C47" s="541" t="s">
        <v>895</v>
      </c>
      <c r="D47" s="871" t="s">
        <v>895</v>
      </c>
      <c r="E47" s="872"/>
      <c r="F47" s="872"/>
      <c r="G47" s="872"/>
      <c r="H47" s="872"/>
      <c r="I47" s="872"/>
      <c r="J47" s="872"/>
      <c r="K47" s="872"/>
      <c r="L47" s="872"/>
      <c r="M47" s="873"/>
    </row>
    <row r="48" spans="1:13" ht="11.85" customHeight="1">
      <c r="A48" s="869" t="s">
        <v>2053</v>
      </c>
      <c r="B48" s="870"/>
      <c r="C48" s="541" t="s">
        <v>2050</v>
      </c>
      <c r="D48" s="871" t="s">
        <v>2051</v>
      </c>
      <c r="E48" s="872"/>
      <c r="F48" s="872"/>
      <c r="G48" s="872"/>
      <c r="H48" s="872"/>
      <c r="I48" s="872"/>
      <c r="J48" s="872"/>
      <c r="K48" s="872"/>
      <c r="L48" s="872"/>
      <c r="M48" s="873"/>
    </row>
    <row r="49" spans="1:13" ht="11.85" customHeight="1">
      <c r="A49" s="895" t="s">
        <v>2054</v>
      </c>
      <c r="B49" s="896"/>
      <c r="C49" s="542" t="s">
        <v>2055</v>
      </c>
      <c r="D49" s="897" t="s">
        <v>2056</v>
      </c>
      <c r="E49" s="898"/>
      <c r="F49" s="898"/>
      <c r="G49" s="898"/>
      <c r="H49" s="898"/>
      <c r="I49" s="898"/>
      <c r="J49" s="898"/>
      <c r="K49" s="898"/>
      <c r="L49" s="898"/>
      <c r="M49" s="899"/>
    </row>
    <row r="50" spans="1:13" ht="11.85" customHeight="1">
      <c r="A50" s="900" t="s">
        <v>2057</v>
      </c>
      <c r="B50" s="901"/>
      <c r="C50" s="543" t="s">
        <v>2058</v>
      </c>
      <c r="D50" s="902" t="s">
        <v>2059</v>
      </c>
      <c r="E50" s="903"/>
      <c r="F50" s="903"/>
      <c r="G50" s="903"/>
      <c r="H50" s="903"/>
      <c r="I50" s="903"/>
      <c r="J50" s="903"/>
      <c r="K50" s="903"/>
      <c r="L50" s="903"/>
      <c r="M50" s="904"/>
    </row>
    <row r="51" spans="1:13" ht="5.85" customHeight="1">
      <c r="A51" s="520"/>
      <c r="B51" s="520"/>
      <c r="C51" s="520"/>
      <c r="D51" s="520"/>
      <c r="E51" s="520"/>
      <c r="F51" s="520"/>
      <c r="G51" s="520"/>
      <c r="H51" s="520"/>
      <c r="I51" s="520"/>
      <c r="J51" s="520"/>
      <c r="K51" s="520"/>
      <c r="L51" s="520"/>
      <c r="M51" s="520"/>
    </row>
    <row r="52" spans="1:13" ht="11.1" customHeight="1">
      <c r="A52" s="875" t="s">
        <v>2060</v>
      </c>
      <c r="B52" s="878"/>
      <c r="C52" s="883" t="s">
        <v>899</v>
      </c>
      <c r="D52" s="886" t="s">
        <v>1988</v>
      </c>
      <c r="E52" s="887"/>
      <c r="F52" s="887"/>
      <c r="G52" s="887"/>
      <c r="H52" s="887"/>
      <c r="I52" s="887"/>
      <c r="J52" s="887"/>
      <c r="K52" s="887"/>
      <c r="L52" s="887"/>
      <c r="M52" s="888"/>
    </row>
    <row r="53" spans="1:13" ht="17.850000000000001" customHeight="1">
      <c r="A53" s="879"/>
      <c r="B53" s="880"/>
      <c r="C53" s="884"/>
      <c r="D53" s="883" t="s">
        <v>900</v>
      </c>
      <c r="E53" s="908"/>
      <c r="F53" s="883" t="s">
        <v>901</v>
      </c>
      <c r="G53" s="912" t="s">
        <v>902</v>
      </c>
      <c r="H53" s="908"/>
      <c r="I53" s="912" t="s">
        <v>2061</v>
      </c>
      <c r="J53" s="908"/>
      <c r="K53" s="883" t="s">
        <v>2062</v>
      </c>
      <c r="L53" s="913"/>
      <c r="M53" s="914"/>
    </row>
    <row r="54" spans="1:13" ht="5.85" customHeight="1">
      <c r="A54" s="879"/>
      <c r="B54" s="880"/>
      <c r="C54" s="884"/>
      <c r="D54" s="909"/>
      <c r="E54" s="910"/>
      <c r="F54" s="884"/>
      <c r="G54" s="909"/>
      <c r="H54" s="910"/>
      <c r="I54" s="909"/>
      <c r="J54" s="910"/>
      <c r="K54" s="883" t="s">
        <v>2063</v>
      </c>
      <c r="L54" s="908"/>
      <c r="M54" s="883" t="s">
        <v>2064</v>
      </c>
    </row>
    <row r="55" spans="1:13" ht="5.85" customHeight="1">
      <c r="A55" s="881"/>
      <c r="B55" s="882"/>
      <c r="C55" s="885"/>
      <c r="D55" s="911"/>
      <c r="E55" s="907"/>
      <c r="F55" s="885"/>
      <c r="G55" s="885" t="s">
        <v>922</v>
      </c>
      <c r="H55" s="907"/>
      <c r="I55" s="885" t="s">
        <v>923</v>
      </c>
      <c r="J55" s="907"/>
      <c r="K55" s="911"/>
      <c r="L55" s="907"/>
      <c r="M55" s="885"/>
    </row>
    <row r="56" spans="1:13" ht="11.1" customHeight="1">
      <c r="A56" s="864" t="s">
        <v>2065</v>
      </c>
      <c r="B56" s="865"/>
      <c r="C56" s="540" t="s">
        <v>2066</v>
      </c>
      <c r="D56" s="866" t="s">
        <v>2067</v>
      </c>
      <c r="E56" s="868"/>
      <c r="F56" s="540" t="s">
        <v>2068</v>
      </c>
      <c r="G56" s="866" t="s">
        <v>2069</v>
      </c>
      <c r="H56" s="868"/>
      <c r="I56" s="866" t="s">
        <v>2070</v>
      </c>
      <c r="J56" s="868"/>
      <c r="K56" s="905" t="s">
        <v>2071</v>
      </c>
      <c r="L56" s="867"/>
      <c r="M56" s="544" t="s">
        <v>2072</v>
      </c>
    </row>
    <row r="57" spans="1:13" ht="11.85" customHeight="1">
      <c r="A57" s="869" t="s">
        <v>1961</v>
      </c>
      <c r="B57" s="870"/>
      <c r="C57" s="541" t="s">
        <v>2073</v>
      </c>
      <c r="D57" s="871" t="s">
        <v>2074</v>
      </c>
      <c r="E57" s="873"/>
      <c r="F57" s="541" t="s">
        <v>2075</v>
      </c>
      <c r="G57" s="871" t="s">
        <v>2076</v>
      </c>
      <c r="H57" s="873"/>
      <c r="I57" s="871" t="s">
        <v>2077</v>
      </c>
      <c r="J57" s="873"/>
      <c r="K57" s="906" t="s">
        <v>895</v>
      </c>
      <c r="L57" s="872"/>
      <c r="M57" s="545" t="s">
        <v>895</v>
      </c>
    </row>
    <row r="58" spans="1:13" ht="11.85" customHeight="1">
      <c r="A58" s="869" t="s">
        <v>2078</v>
      </c>
      <c r="B58" s="870"/>
      <c r="C58" s="541" t="s">
        <v>2079</v>
      </c>
      <c r="D58" s="871" t="s">
        <v>2080</v>
      </c>
      <c r="E58" s="873"/>
      <c r="F58" s="541" t="s">
        <v>2081</v>
      </c>
      <c r="G58" s="871" t="s">
        <v>2082</v>
      </c>
      <c r="H58" s="873"/>
      <c r="I58" s="871" t="s">
        <v>895</v>
      </c>
      <c r="J58" s="873"/>
      <c r="K58" s="906" t="s">
        <v>895</v>
      </c>
      <c r="L58" s="872"/>
      <c r="M58" s="545" t="s">
        <v>895</v>
      </c>
    </row>
    <row r="59" spans="1:13" ht="11.85" customHeight="1">
      <c r="A59" s="869" t="s">
        <v>2083</v>
      </c>
      <c r="B59" s="870"/>
      <c r="C59" s="541" t="s">
        <v>2084</v>
      </c>
      <c r="D59" s="871" t="s">
        <v>2085</v>
      </c>
      <c r="E59" s="873"/>
      <c r="F59" s="541" t="s">
        <v>2086</v>
      </c>
      <c r="G59" s="871" t="s">
        <v>2087</v>
      </c>
      <c r="H59" s="873"/>
      <c r="I59" s="871" t="s">
        <v>2088</v>
      </c>
      <c r="J59" s="873"/>
      <c r="K59" s="906" t="s">
        <v>2071</v>
      </c>
      <c r="L59" s="872"/>
      <c r="M59" s="545" t="s">
        <v>2072</v>
      </c>
    </row>
    <row r="60" spans="1:13" ht="11.1" customHeight="1">
      <c r="A60" s="869" t="s">
        <v>2089</v>
      </c>
      <c r="B60" s="870"/>
      <c r="C60" s="541" t="s">
        <v>2090</v>
      </c>
      <c r="D60" s="871" t="s">
        <v>2091</v>
      </c>
      <c r="E60" s="873"/>
      <c r="F60" s="541" t="s">
        <v>2092</v>
      </c>
      <c r="G60" s="871" t="s">
        <v>2093</v>
      </c>
      <c r="H60" s="873"/>
      <c r="I60" s="871" t="s">
        <v>2070</v>
      </c>
      <c r="J60" s="873"/>
      <c r="K60" s="906" t="s">
        <v>2071</v>
      </c>
      <c r="L60" s="872"/>
      <c r="M60" s="545" t="s">
        <v>2072</v>
      </c>
    </row>
    <row r="61" spans="1:13" ht="11.85" customHeight="1">
      <c r="A61" s="869" t="s">
        <v>2094</v>
      </c>
      <c r="B61" s="870"/>
      <c r="C61" s="541" t="s">
        <v>2095</v>
      </c>
      <c r="D61" s="871" t="s">
        <v>2096</v>
      </c>
      <c r="E61" s="873"/>
      <c r="F61" s="541" t="s">
        <v>2097</v>
      </c>
      <c r="G61" s="871" t="s">
        <v>2098</v>
      </c>
      <c r="H61" s="873"/>
      <c r="I61" s="871" t="s">
        <v>2099</v>
      </c>
      <c r="J61" s="873"/>
      <c r="K61" s="906" t="s">
        <v>2100</v>
      </c>
      <c r="L61" s="872"/>
      <c r="M61" s="545" t="s">
        <v>2101</v>
      </c>
    </row>
    <row r="62" spans="1:13" ht="11.85" customHeight="1">
      <c r="A62" s="869" t="s">
        <v>336</v>
      </c>
      <c r="B62" s="870"/>
      <c r="C62" s="541" t="s">
        <v>2102</v>
      </c>
      <c r="D62" s="871" t="s">
        <v>2096</v>
      </c>
      <c r="E62" s="873"/>
      <c r="F62" s="541" t="s">
        <v>2097</v>
      </c>
      <c r="G62" s="871" t="s">
        <v>2098</v>
      </c>
      <c r="H62" s="873"/>
      <c r="I62" s="871" t="s">
        <v>2099</v>
      </c>
      <c r="J62" s="873"/>
      <c r="K62" s="906" t="s">
        <v>2103</v>
      </c>
      <c r="L62" s="872"/>
      <c r="M62" s="545" t="s">
        <v>2103</v>
      </c>
    </row>
    <row r="63" spans="1:13" ht="11.85" customHeight="1">
      <c r="A63" s="869" t="s">
        <v>2104</v>
      </c>
      <c r="B63" s="870"/>
      <c r="C63" s="541" t="s">
        <v>2105</v>
      </c>
      <c r="D63" s="871" t="s">
        <v>895</v>
      </c>
      <c r="E63" s="873"/>
      <c r="F63" s="541" t="s">
        <v>895</v>
      </c>
      <c r="G63" s="871" t="s">
        <v>895</v>
      </c>
      <c r="H63" s="873"/>
      <c r="I63" s="871" t="s">
        <v>895</v>
      </c>
      <c r="J63" s="873"/>
      <c r="K63" s="906" t="s">
        <v>895</v>
      </c>
      <c r="L63" s="872"/>
      <c r="M63" s="545" t="s">
        <v>895</v>
      </c>
    </row>
    <row r="64" spans="1:13" ht="11.1" customHeight="1">
      <c r="A64" s="869" t="s">
        <v>2106</v>
      </c>
      <c r="B64" s="870"/>
      <c r="C64" s="541" t="s">
        <v>2107</v>
      </c>
      <c r="D64" s="871" t="s">
        <v>895</v>
      </c>
      <c r="E64" s="873"/>
      <c r="F64" s="541" t="s">
        <v>895</v>
      </c>
      <c r="G64" s="871" t="s">
        <v>895</v>
      </c>
      <c r="H64" s="873"/>
      <c r="I64" s="871" t="s">
        <v>895</v>
      </c>
      <c r="J64" s="873"/>
      <c r="K64" s="906" t="s">
        <v>895</v>
      </c>
      <c r="L64" s="872"/>
      <c r="M64" s="545" t="s">
        <v>895</v>
      </c>
    </row>
    <row r="65" spans="1:13" ht="11.85" customHeight="1">
      <c r="A65" s="869" t="s">
        <v>2108</v>
      </c>
      <c r="B65" s="870"/>
      <c r="C65" s="541" t="s">
        <v>895</v>
      </c>
      <c r="D65" s="871" t="s">
        <v>895</v>
      </c>
      <c r="E65" s="873"/>
      <c r="F65" s="541" t="s">
        <v>895</v>
      </c>
      <c r="G65" s="871" t="s">
        <v>895</v>
      </c>
      <c r="H65" s="873"/>
      <c r="I65" s="871" t="s">
        <v>895</v>
      </c>
      <c r="J65" s="873"/>
      <c r="K65" s="906" t="s">
        <v>895</v>
      </c>
      <c r="L65" s="872"/>
      <c r="M65" s="545" t="s">
        <v>895</v>
      </c>
    </row>
    <row r="66" spans="1:13" ht="11.85" customHeight="1">
      <c r="A66" s="869" t="s">
        <v>2109</v>
      </c>
      <c r="B66" s="870"/>
      <c r="C66" s="541" t="s">
        <v>895</v>
      </c>
      <c r="D66" s="871" t="s">
        <v>895</v>
      </c>
      <c r="E66" s="873"/>
      <c r="F66" s="541" t="s">
        <v>895</v>
      </c>
      <c r="G66" s="871" t="s">
        <v>895</v>
      </c>
      <c r="H66" s="873"/>
      <c r="I66" s="871" t="s">
        <v>895</v>
      </c>
      <c r="J66" s="873"/>
      <c r="K66" s="906" t="s">
        <v>895</v>
      </c>
      <c r="L66" s="872"/>
      <c r="M66" s="545" t="s">
        <v>895</v>
      </c>
    </row>
    <row r="67" spans="1:13" ht="11.85" customHeight="1">
      <c r="A67" s="869" t="s">
        <v>2110</v>
      </c>
      <c r="B67" s="870"/>
      <c r="C67" s="541" t="s">
        <v>2111</v>
      </c>
      <c r="D67" s="871" t="s">
        <v>895</v>
      </c>
      <c r="E67" s="873"/>
      <c r="F67" s="541" t="s">
        <v>895</v>
      </c>
      <c r="G67" s="871" t="s">
        <v>895</v>
      </c>
      <c r="H67" s="873"/>
      <c r="I67" s="871" t="s">
        <v>895</v>
      </c>
      <c r="J67" s="873"/>
      <c r="K67" s="906" t="s">
        <v>895</v>
      </c>
      <c r="L67" s="872"/>
      <c r="M67" s="545" t="s">
        <v>895</v>
      </c>
    </row>
    <row r="68" spans="1:13" ht="11.1" customHeight="1">
      <c r="A68" s="869" t="s">
        <v>2112</v>
      </c>
      <c r="B68" s="870"/>
      <c r="C68" s="541" t="s">
        <v>2113</v>
      </c>
      <c r="D68" s="871" t="s">
        <v>895</v>
      </c>
      <c r="E68" s="873"/>
      <c r="F68" s="541" t="s">
        <v>895</v>
      </c>
      <c r="G68" s="871" t="s">
        <v>895</v>
      </c>
      <c r="H68" s="873"/>
      <c r="I68" s="871" t="s">
        <v>895</v>
      </c>
      <c r="J68" s="873"/>
      <c r="K68" s="906" t="s">
        <v>2114</v>
      </c>
      <c r="L68" s="872"/>
      <c r="M68" s="545" t="s">
        <v>2115</v>
      </c>
    </row>
    <row r="69" spans="1:13" ht="11.85" customHeight="1">
      <c r="A69" s="869" t="s">
        <v>2116</v>
      </c>
      <c r="B69" s="870"/>
      <c r="C69" s="541" t="s">
        <v>2117</v>
      </c>
      <c r="D69" s="871" t="s">
        <v>2096</v>
      </c>
      <c r="E69" s="873"/>
      <c r="F69" s="541" t="s">
        <v>2097</v>
      </c>
      <c r="G69" s="871" t="s">
        <v>2098</v>
      </c>
      <c r="H69" s="873"/>
      <c r="I69" s="871" t="s">
        <v>2099</v>
      </c>
      <c r="J69" s="873"/>
      <c r="K69" s="906" t="s">
        <v>2103</v>
      </c>
      <c r="L69" s="872"/>
      <c r="M69" s="545" t="s">
        <v>2103</v>
      </c>
    </row>
    <row r="70" spans="1:13" ht="8.85" customHeight="1"/>
    <row r="71" spans="1:13" ht="11.85" customHeight="1">
      <c r="A71" s="916" t="s">
        <v>2118</v>
      </c>
      <c r="B71" s="916"/>
      <c r="C71" s="916"/>
      <c r="D71" s="916"/>
      <c r="E71" s="916"/>
      <c r="F71" s="916"/>
      <c r="G71" s="916"/>
      <c r="H71" s="916"/>
      <c r="I71" s="916"/>
      <c r="J71" s="916"/>
      <c r="K71" s="916"/>
      <c r="L71" s="916"/>
      <c r="M71" s="916"/>
    </row>
    <row r="72" spans="1:13" ht="11.85" customHeight="1">
      <c r="A72" s="861" t="s">
        <v>1405</v>
      </c>
      <c r="B72" s="861"/>
      <c r="C72" s="861"/>
      <c r="D72" s="861"/>
      <c r="L72" s="862" t="s">
        <v>1678</v>
      </c>
      <c r="M72" s="862"/>
    </row>
    <row r="73" spans="1:13" ht="11.1" customHeight="1">
      <c r="A73" s="861" t="s">
        <v>882</v>
      </c>
      <c r="B73" s="861"/>
      <c r="C73" s="861"/>
      <c r="D73" s="861"/>
    </row>
    <row r="74" spans="1:13" ht="11.85" customHeight="1">
      <c r="A74" s="863" t="s">
        <v>1984</v>
      </c>
      <c r="B74" s="863"/>
      <c r="C74" s="863"/>
      <c r="D74" s="863"/>
    </row>
    <row r="75" spans="1:13" ht="11.85" customHeight="1">
      <c r="A75" s="861" t="s">
        <v>1310</v>
      </c>
      <c r="B75" s="861"/>
      <c r="C75" s="861"/>
      <c r="D75" s="861"/>
    </row>
    <row r="76" spans="1:13" ht="11.85" customHeight="1">
      <c r="A76" s="861" t="s">
        <v>885</v>
      </c>
      <c r="B76" s="861"/>
      <c r="C76" s="861"/>
      <c r="D76" s="861"/>
    </row>
    <row r="77" spans="1:13" ht="5.85" customHeight="1"/>
    <row r="78" spans="1:13" ht="11.1" customHeight="1">
      <c r="A78" s="895" t="s">
        <v>2119</v>
      </c>
      <c r="B78" s="896"/>
      <c r="C78" s="542" t="s">
        <v>2120</v>
      </c>
      <c r="D78" s="897" t="s">
        <v>895</v>
      </c>
      <c r="E78" s="899"/>
      <c r="F78" s="542" t="s">
        <v>895</v>
      </c>
      <c r="G78" s="897" t="s">
        <v>895</v>
      </c>
      <c r="H78" s="899"/>
      <c r="I78" s="897" t="s">
        <v>895</v>
      </c>
      <c r="J78" s="899"/>
      <c r="K78" s="915" t="s">
        <v>895</v>
      </c>
      <c r="L78" s="898"/>
      <c r="M78" s="546" t="s">
        <v>895</v>
      </c>
    </row>
    <row r="79" spans="1:13" ht="11.85" customHeight="1">
      <c r="A79" s="900" t="s">
        <v>2121</v>
      </c>
      <c r="B79" s="901"/>
      <c r="C79" s="543" t="s">
        <v>2122</v>
      </c>
      <c r="D79" s="902" t="s">
        <v>2123</v>
      </c>
      <c r="E79" s="904"/>
      <c r="F79" s="543" t="s">
        <v>2124</v>
      </c>
      <c r="G79" s="902" t="s">
        <v>2125</v>
      </c>
      <c r="H79" s="904"/>
      <c r="I79" s="902" t="s">
        <v>2126</v>
      </c>
      <c r="J79" s="904"/>
      <c r="K79" s="902" t="s">
        <v>2127</v>
      </c>
      <c r="L79" s="904"/>
      <c r="M79" s="543" t="s">
        <v>2128</v>
      </c>
    </row>
    <row r="80" spans="1:13" ht="5.85" customHeight="1">
      <c r="A80" s="924"/>
      <c r="B80" s="925"/>
      <c r="C80" s="925"/>
      <c r="D80" s="925"/>
      <c r="E80" s="925"/>
      <c r="F80" s="925"/>
      <c r="G80" s="925"/>
      <c r="H80" s="925"/>
      <c r="I80" s="925"/>
      <c r="J80" s="925"/>
      <c r="K80" s="925"/>
      <c r="L80" s="925"/>
      <c r="M80" s="926"/>
    </row>
    <row r="81" spans="1:13" ht="17.850000000000001" customHeight="1">
      <c r="A81" s="917" t="s">
        <v>2129</v>
      </c>
      <c r="B81" s="918"/>
      <c r="C81" s="902" t="s">
        <v>2130</v>
      </c>
      <c r="D81" s="903"/>
      <c r="E81" s="903"/>
      <c r="F81" s="903"/>
      <c r="G81" s="903"/>
      <c r="H81" s="903"/>
      <c r="I81" s="903"/>
      <c r="J81" s="903"/>
      <c r="K81" s="903"/>
      <c r="L81" s="903"/>
      <c r="M81" s="904"/>
    </row>
    <row r="82" spans="1:13" ht="5.0999999999999996" customHeight="1">
      <c r="A82" s="520"/>
      <c r="B82" s="520"/>
      <c r="C82" s="520"/>
      <c r="D82" s="520"/>
      <c r="E82" s="520"/>
      <c r="F82" s="520"/>
      <c r="G82" s="520"/>
      <c r="H82" s="520"/>
      <c r="I82" s="520"/>
      <c r="J82" s="520"/>
      <c r="K82" s="520"/>
      <c r="L82" s="520"/>
      <c r="M82" s="520"/>
    </row>
    <row r="83" spans="1:13" ht="11.85" customHeight="1">
      <c r="A83" s="875" t="s">
        <v>2131</v>
      </c>
      <c r="B83" s="877"/>
      <c r="C83" s="886" t="s">
        <v>2132</v>
      </c>
      <c r="D83" s="887"/>
      <c r="E83" s="887"/>
      <c r="F83" s="887"/>
      <c r="G83" s="887"/>
      <c r="H83" s="887"/>
      <c r="I83" s="887"/>
      <c r="J83" s="887"/>
      <c r="K83" s="887"/>
      <c r="L83" s="887"/>
      <c r="M83" s="888"/>
    </row>
    <row r="84" spans="1:13" ht="15.6" customHeight="1">
      <c r="A84" s="919" t="s">
        <v>2133</v>
      </c>
      <c r="B84" s="920"/>
      <c r="C84" s="921" t="s">
        <v>2134</v>
      </c>
      <c r="D84" s="922"/>
      <c r="E84" s="922"/>
      <c r="F84" s="922"/>
      <c r="G84" s="922"/>
      <c r="H84" s="922"/>
      <c r="I84" s="922"/>
      <c r="J84" s="922"/>
      <c r="K84" s="922"/>
      <c r="L84" s="922"/>
      <c r="M84" s="923"/>
    </row>
    <row r="85" spans="1:13" ht="6.6" customHeight="1">
      <c r="A85" s="520"/>
      <c r="B85" s="520"/>
      <c r="C85" s="520"/>
      <c r="D85" s="520"/>
      <c r="E85" s="520"/>
      <c r="F85" s="520"/>
      <c r="G85" s="520"/>
      <c r="H85" s="520"/>
      <c r="I85" s="520"/>
      <c r="J85" s="520"/>
      <c r="K85" s="520"/>
      <c r="L85" s="520"/>
      <c r="M85" s="520"/>
    </row>
    <row r="86" spans="1:13" ht="5.85" customHeight="1">
      <c r="A86" s="875" t="s">
        <v>2135</v>
      </c>
      <c r="B86" s="878"/>
      <c r="C86" s="886" t="s">
        <v>1988</v>
      </c>
      <c r="D86" s="887"/>
      <c r="E86" s="887"/>
      <c r="F86" s="887"/>
      <c r="G86" s="887"/>
      <c r="H86" s="887"/>
      <c r="I86" s="887"/>
      <c r="J86" s="887"/>
      <c r="K86" s="887"/>
      <c r="L86" s="887"/>
      <c r="M86" s="888"/>
    </row>
    <row r="87" spans="1:13" ht="11.85" customHeight="1">
      <c r="A87" s="881"/>
      <c r="B87" s="882"/>
      <c r="C87" s="886" t="s">
        <v>2136</v>
      </c>
      <c r="D87" s="887"/>
      <c r="E87" s="887"/>
      <c r="F87" s="887"/>
      <c r="G87" s="887"/>
      <c r="H87" s="887"/>
      <c r="I87" s="887"/>
      <c r="J87" s="887"/>
      <c r="K87" s="887"/>
      <c r="L87" s="887"/>
      <c r="M87" s="888"/>
    </row>
    <row r="88" spans="1:13" ht="11.85" customHeight="1">
      <c r="A88" s="927" t="s">
        <v>2137</v>
      </c>
      <c r="B88" s="928"/>
      <c r="C88" s="866" t="s">
        <v>2138</v>
      </c>
      <c r="D88" s="867"/>
      <c r="E88" s="867"/>
      <c r="F88" s="867"/>
      <c r="G88" s="867"/>
      <c r="H88" s="867"/>
      <c r="I88" s="867"/>
      <c r="J88" s="867"/>
      <c r="K88" s="867"/>
      <c r="L88" s="867"/>
      <c r="M88" s="868"/>
    </row>
    <row r="89" spans="1:13" ht="11.1" customHeight="1">
      <c r="A89" s="929" t="s">
        <v>2139</v>
      </c>
      <c r="B89" s="930"/>
      <c r="C89" s="897" t="s">
        <v>2081</v>
      </c>
      <c r="D89" s="898"/>
      <c r="E89" s="898"/>
      <c r="F89" s="898"/>
      <c r="G89" s="898"/>
      <c r="H89" s="898"/>
      <c r="I89" s="898"/>
      <c r="J89" s="898"/>
      <c r="K89" s="898"/>
      <c r="L89" s="898"/>
      <c r="M89" s="899"/>
    </row>
    <row r="90" spans="1:13" ht="5.85" customHeight="1">
      <c r="A90" s="924"/>
      <c r="B90" s="925"/>
      <c r="C90" s="925"/>
      <c r="D90" s="925"/>
      <c r="E90" s="925"/>
      <c r="F90" s="925"/>
      <c r="G90" s="925"/>
      <c r="H90" s="925"/>
      <c r="I90" s="925"/>
      <c r="J90" s="925"/>
      <c r="K90" s="925"/>
      <c r="L90" s="925"/>
      <c r="M90" s="926"/>
    </row>
    <row r="91" spans="1:13" ht="17.850000000000001" customHeight="1">
      <c r="A91" s="917" t="s">
        <v>2140</v>
      </c>
      <c r="B91" s="918"/>
      <c r="C91" s="902" t="s">
        <v>2141</v>
      </c>
      <c r="D91" s="903"/>
      <c r="E91" s="903"/>
      <c r="F91" s="903"/>
      <c r="G91" s="903"/>
      <c r="H91" s="903"/>
      <c r="I91" s="903"/>
      <c r="J91" s="903"/>
      <c r="K91" s="903"/>
      <c r="L91" s="903"/>
      <c r="M91" s="904"/>
    </row>
    <row r="92" spans="1:13" ht="5.85" customHeight="1">
      <c r="A92" s="924"/>
      <c r="B92" s="925"/>
      <c r="C92" s="925"/>
      <c r="D92" s="925"/>
      <c r="E92" s="925"/>
      <c r="F92" s="925"/>
      <c r="G92" s="925"/>
      <c r="H92" s="925"/>
      <c r="I92" s="925"/>
      <c r="J92" s="925"/>
      <c r="K92" s="925"/>
      <c r="L92" s="925"/>
      <c r="M92" s="926"/>
    </row>
    <row r="93" spans="1:13" ht="11.1" customHeight="1">
      <c r="A93" s="875" t="s">
        <v>2142</v>
      </c>
      <c r="B93" s="877"/>
      <c r="C93" s="886" t="s">
        <v>2132</v>
      </c>
      <c r="D93" s="887"/>
      <c r="E93" s="887"/>
      <c r="F93" s="887"/>
      <c r="G93" s="887"/>
      <c r="H93" s="887"/>
      <c r="I93" s="887"/>
      <c r="J93" s="887"/>
      <c r="K93" s="887"/>
      <c r="L93" s="887"/>
      <c r="M93" s="888"/>
    </row>
    <row r="94" spans="1:13" ht="15.6" customHeight="1">
      <c r="A94" s="919" t="s">
        <v>2133</v>
      </c>
      <c r="B94" s="920"/>
      <c r="C94" s="939" t="s">
        <v>2143</v>
      </c>
      <c r="D94" s="940"/>
      <c r="E94" s="940"/>
      <c r="F94" s="940"/>
      <c r="G94" s="940"/>
      <c r="H94" s="940"/>
      <c r="I94" s="940"/>
      <c r="J94" s="940"/>
      <c r="K94" s="940"/>
      <c r="L94" s="940"/>
      <c r="M94" s="941"/>
    </row>
    <row r="95" spans="1:13" ht="8.1" customHeight="1">
      <c r="A95" s="924"/>
      <c r="B95" s="925"/>
      <c r="C95" s="925"/>
      <c r="D95" s="925"/>
      <c r="E95" s="925"/>
      <c r="F95" s="925"/>
      <c r="G95" s="925"/>
      <c r="H95" s="925"/>
      <c r="I95" s="925"/>
      <c r="J95" s="925"/>
      <c r="K95" s="925"/>
      <c r="L95" s="925"/>
      <c r="M95" s="926"/>
    </row>
    <row r="96" spans="1:13" ht="11.85" customHeight="1">
      <c r="A96" s="875" t="s">
        <v>2144</v>
      </c>
      <c r="B96" s="876"/>
      <c r="C96" s="876"/>
      <c r="D96" s="876"/>
      <c r="E96" s="876"/>
      <c r="F96" s="876"/>
      <c r="G96" s="876"/>
      <c r="H96" s="876"/>
      <c r="I96" s="876"/>
      <c r="J96" s="876"/>
      <c r="K96" s="876"/>
      <c r="L96" s="876"/>
      <c r="M96" s="877"/>
    </row>
    <row r="97" spans="1:13" ht="11.1" customHeight="1">
      <c r="A97" s="875" t="s">
        <v>2145</v>
      </c>
      <c r="B97" s="878"/>
      <c r="C97" s="875" t="s">
        <v>1315</v>
      </c>
      <c r="D97" s="876"/>
      <c r="E97" s="876"/>
      <c r="F97" s="876"/>
      <c r="G97" s="876"/>
      <c r="H97" s="876"/>
      <c r="I97" s="876"/>
      <c r="J97" s="876"/>
      <c r="K97" s="876"/>
      <c r="L97" s="876"/>
      <c r="M97" s="877"/>
    </row>
    <row r="98" spans="1:13" ht="11.85" customHeight="1">
      <c r="A98" s="879"/>
      <c r="B98" s="880"/>
      <c r="C98" s="942" t="s">
        <v>2146</v>
      </c>
      <c r="D98" s="943"/>
      <c r="E98" s="943"/>
      <c r="F98" s="943"/>
      <c r="G98" s="878"/>
      <c r="H98" s="942" t="s">
        <v>2147</v>
      </c>
      <c r="I98" s="943"/>
      <c r="J98" s="943"/>
      <c r="K98" s="943"/>
      <c r="L98" s="943"/>
      <c r="M98" s="878"/>
    </row>
    <row r="99" spans="1:13" ht="11.85" customHeight="1">
      <c r="A99" s="881"/>
      <c r="B99" s="882"/>
      <c r="C99" s="944" t="s">
        <v>922</v>
      </c>
      <c r="D99" s="945"/>
      <c r="E99" s="945"/>
      <c r="F99" s="945"/>
      <c r="G99" s="882"/>
      <c r="H99" s="944" t="s">
        <v>923</v>
      </c>
      <c r="I99" s="945"/>
      <c r="J99" s="945"/>
      <c r="K99" s="945"/>
      <c r="L99" s="945"/>
      <c r="M99" s="882"/>
    </row>
    <row r="100" spans="1:13" ht="11.85" customHeight="1">
      <c r="A100" s="927" t="s">
        <v>2148</v>
      </c>
      <c r="B100" s="928"/>
      <c r="C100" s="866" t="s">
        <v>2149</v>
      </c>
      <c r="D100" s="867"/>
      <c r="E100" s="867"/>
      <c r="F100" s="867"/>
      <c r="G100" s="868"/>
      <c r="H100" s="931" t="s">
        <v>2150</v>
      </c>
      <c r="I100" s="932"/>
      <c r="J100" s="932"/>
      <c r="K100" s="932"/>
      <c r="L100" s="932"/>
      <c r="M100" s="933"/>
    </row>
    <row r="101" spans="1:13" ht="11.1" customHeight="1">
      <c r="A101" s="934" t="s">
        <v>2151</v>
      </c>
      <c r="B101" s="935"/>
      <c r="C101" s="871" t="s">
        <v>2152</v>
      </c>
      <c r="D101" s="872"/>
      <c r="E101" s="872"/>
      <c r="F101" s="872"/>
      <c r="G101" s="873"/>
      <c r="H101" s="936" t="s">
        <v>2153</v>
      </c>
      <c r="I101" s="937"/>
      <c r="J101" s="937"/>
      <c r="K101" s="937"/>
      <c r="L101" s="937"/>
      <c r="M101" s="938"/>
    </row>
    <row r="102" spans="1:13" ht="11.85" customHeight="1">
      <c r="A102" s="934" t="s">
        <v>2154</v>
      </c>
      <c r="B102" s="935"/>
      <c r="C102" s="871" t="s">
        <v>895</v>
      </c>
      <c r="D102" s="872"/>
      <c r="E102" s="872"/>
      <c r="F102" s="872"/>
      <c r="G102" s="873"/>
      <c r="H102" s="936" t="s">
        <v>895</v>
      </c>
      <c r="I102" s="937"/>
      <c r="J102" s="937"/>
      <c r="K102" s="937"/>
      <c r="L102" s="937"/>
      <c r="M102" s="938"/>
    </row>
    <row r="103" spans="1:13" ht="11.85" customHeight="1">
      <c r="A103" s="934" t="s">
        <v>2155</v>
      </c>
      <c r="B103" s="935"/>
      <c r="C103" s="871" t="s">
        <v>2156</v>
      </c>
      <c r="D103" s="872"/>
      <c r="E103" s="872"/>
      <c r="F103" s="872"/>
      <c r="G103" s="873"/>
      <c r="H103" s="936" t="s">
        <v>2157</v>
      </c>
      <c r="I103" s="937"/>
      <c r="J103" s="937"/>
      <c r="K103" s="937"/>
      <c r="L103" s="937"/>
      <c r="M103" s="938"/>
    </row>
    <row r="104" spans="1:13" ht="11.85" customHeight="1">
      <c r="A104" s="934" t="s">
        <v>2158</v>
      </c>
      <c r="B104" s="935"/>
      <c r="C104" s="871" t="s">
        <v>2159</v>
      </c>
      <c r="D104" s="872"/>
      <c r="E104" s="872"/>
      <c r="F104" s="872"/>
      <c r="G104" s="873"/>
      <c r="H104" s="936" t="s">
        <v>2160</v>
      </c>
      <c r="I104" s="937"/>
      <c r="J104" s="937"/>
      <c r="K104" s="937"/>
      <c r="L104" s="937"/>
      <c r="M104" s="938"/>
    </row>
    <row r="105" spans="1:13" ht="11.1" customHeight="1">
      <c r="A105" s="934" t="s">
        <v>2161</v>
      </c>
      <c r="B105" s="935"/>
      <c r="C105" s="871" t="s">
        <v>2152</v>
      </c>
      <c r="D105" s="872"/>
      <c r="E105" s="872"/>
      <c r="F105" s="872"/>
      <c r="G105" s="873"/>
      <c r="H105" s="936" t="s">
        <v>2153</v>
      </c>
      <c r="I105" s="937"/>
      <c r="J105" s="937"/>
      <c r="K105" s="937"/>
      <c r="L105" s="937"/>
      <c r="M105" s="938"/>
    </row>
    <row r="106" spans="1:13" ht="11.85" customHeight="1">
      <c r="A106" s="929" t="s">
        <v>2162</v>
      </c>
      <c r="B106" s="930"/>
      <c r="C106" s="897" t="s">
        <v>2163</v>
      </c>
      <c r="D106" s="898"/>
      <c r="E106" s="898"/>
      <c r="F106" s="898"/>
      <c r="G106" s="899"/>
      <c r="H106" s="946" t="s">
        <v>2164</v>
      </c>
      <c r="I106" s="947"/>
      <c r="J106" s="947"/>
      <c r="K106" s="947"/>
      <c r="L106" s="947"/>
      <c r="M106" s="948"/>
    </row>
    <row r="107" spans="1:13" ht="15.6" customHeight="1">
      <c r="A107" s="917" t="s">
        <v>2165</v>
      </c>
      <c r="B107" s="918"/>
      <c r="C107" s="949" t="s">
        <v>2166</v>
      </c>
      <c r="D107" s="950"/>
      <c r="E107" s="950"/>
      <c r="F107" s="950"/>
      <c r="G107" s="950"/>
      <c r="H107" s="950"/>
      <c r="I107" s="950"/>
      <c r="J107" s="950"/>
      <c r="K107" s="950"/>
      <c r="L107" s="950"/>
      <c r="M107" s="951"/>
    </row>
    <row r="108" spans="1:13" ht="5.0999999999999996" customHeight="1">
      <c r="A108" s="520"/>
      <c r="B108" s="520"/>
      <c r="C108" s="520"/>
      <c r="D108" s="520"/>
      <c r="E108" s="520"/>
      <c r="F108" s="520"/>
      <c r="G108" s="520"/>
      <c r="H108" s="520"/>
      <c r="I108" s="520"/>
      <c r="J108" s="520"/>
      <c r="K108" s="520"/>
      <c r="L108" s="520"/>
      <c r="M108" s="520"/>
    </row>
    <row r="109" spans="1:13" ht="17.850000000000001" customHeight="1">
      <c r="A109" s="875" t="s">
        <v>2167</v>
      </c>
      <c r="B109" s="877"/>
      <c r="C109" s="875" t="s">
        <v>1988</v>
      </c>
      <c r="D109" s="876"/>
      <c r="E109" s="876"/>
      <c r="F109" s="876"/>
      <c r="G109" s="876"/>
      <c r="H109" s="876"/>
      <c r="I109" s="876"/>
      <c r="J109" s="876"/>
      <c r="K109" s="876"/>
      <c r="L109" s="876"/>
      <c r="M109" s="877"/>
    </row>
    <row r="110" spans="1:13" ht="11.85" customHeight="1">
      <c r="A110" s="927" t="s">
        <v>2168</v>
      </c>
      <c r="B110" s="928"/>
      <c r="C110" s="547"/>
      <c r="D110" s="511"/>
      <c r="E110" s="511"/>
      <c r="F110" s="511"/>
      <c r="G110" s="511"/>
      <c r="H110" s="868" t="s">
        <v>2169</v>
      </c>
      <c r="I110" s="867"/>
      <c r="J110" s="867"/>
      <c r="K110" s="867"/>
      <c r="L110" s="867"/>
      <c r="M110" s="868"/>
    </row>
    <row r="111" spans="1:13" ht="14.85" customHeight="1">
      <c r="A111" s="934" t="s">
        <v>2170</v>
      </c>
      <c r="B111" s="935"/>
      <c r="C111" s="513"/>
      <c r="H111" s="873" t="s">
        <v>895</v>
      </c>
      <c r="I111" s="872"/>
      <c r="J111" s="872"/>
      <c r="K111" s="872"/>
      <c r="L111" s="872"/>
      <c r="M111" s="873"/>
    </row>
    <row r="112" spans="1:13" ht="11.85" customHeight="1">
      <c r="A112" s="934" t="s">
        <v>2171</v>
      </c>
      <c r="B112" s="935"/>
      <c r="C112" s="513"/>
      <c r="H112" s="873" t="s">
        <v>895</v>
      </c>
      <c r="I112" s="872"/>
      <c r="J112" s="872"/>
      <c r="K112" s="872"/>
      <c r="L112" s="872"/>
      <c r="M112" s="873"/>
    </row>
    <row r="113" spans="1:13" ht="11.85" customHeight="1">
      <c r="A113" s="934" t="s">
        <v>2172</v>
      </c>
      <c r="B113" s="935"/>
      <c r="C113" s="513"/>
      <c r="H113" s="873" t="s">
        <v>895</v>
      </c>
      <c r="I113" s="872"/>
      <c r="J113" s="872"/>
      <c r="K113" s="872"/>
      <c r="L113" s="872"/>
      <c r="M113" s="873"/>
    </row>
    <row r="114" spans="1:13" ht="11.85" customHeight="1">
      <c r="A114" s="934" t="s">
        <v>2173</v>
      </c>
      <c r="B114" s="935"/>
      <c r="C114" s="513"/>
      <c r="H114" s="873" t="s">
        <v>895</v>
      </c>
      <c r="I114" s="872"/>
      <c r="J114" s="872"/>
      <c r="K114" s="872"/>
      <c r="L114" s="872"/>
      <c r="M114" s="873"/>
    </row>
    <row r="115" spans="1:13" ht="11.1" customHeight="1">
      <c r="A115" s="934" t="s">
        <v>2174</v>
      </c>
      <c r="B115" s="935"/>
      <c r="C115" s="513"/>
      <c r="H115" s="873" t="s">
        <v>895</v>
      </c>
      <c r="I115" s="872"/>
      <c r="J115" s="872"/>
      <c r="K115" s="872"/>
      <c r="L115" s="872"/>
      <c r="M115" s="873"/>
    </row>
    <row r="116" spans="1:13" ht="11.85" customHeight="1">
      <c r="A116" s="929" t="s">
        <v>2175</v>
      </c>
      <c r="B116" s="930"/>
      <c r="C116" s="548"/>
      <c r="D116" s="502"/>
      <c r="E116" s="502"/>
      <c r="F116" s="502"/>
      <c r="G116" s="502"/>
      <c r="H116" s="899" t="s">
        <v>895</v>
      </c>
      <c r="I116" s="898"/>
      <c r="J116" s="898"/>
      <c r="K116" s="898"/>
      <c r="L116" s="898"/>
      <c r="M116" s="899"/>
    </row>
    <row r="117" spans="1:13" ht="15.6" customHeight="1">
      <c r="A117" s="917" t="s">
        <v>2176</v>
      </c>
      <c r="B117" s="918"/>
      <c r="C117" s="949" t="s">
        <v>2177</v>
      </c>
      <c r="D117" s="950"/>
      <c r="E117" s="950"/>
      <c r="F117" s="950"/>
      <c r="G117" s="950"/>
      <c r="H117" s="950"/>
      <c r="I117" s="950"/>
      <c r="J117" s="950"/>
      <c r="K117" s="950"/>
      <c r="L117" s="950"/>
      <c r="M117" s="951"/>
    </row>
    <row r="118" spans="1:13" ht="11.1" customHeight="1">
      <c r="A118" s="924"/>
      <c r="B118" s="925"/>
      <c r="C118" s="925"/>
      <c r="D118" s="925"/>
      <c r="E118" s="925"/>
      <c r="F118" s="925"/>
      <c r="G118" s="925"/>
      <c r="H118" s="925"/>
      <c r="I118" s="925"/>
      <c r="J118" s="925"/>
      <c r="K118" s="925"/>
      <c r="L118" s="925"/>
      <c r="M118" s="926"/>
    </row>
    <row r="119" spans="1:13" ht="15.6" customHeight="1">
      <c r="A119" s="917" t="s">
        <v>2178</v>
      </c>
      <c r="B119" s="918"/>
      <c r="C119" s="949" t="s">
        <v>2179</v>
      </c>
      <c r="D119" s="950"/>
      <c r="E119" s="950"/>
      <c r="F119" s="950"/>
      <c r="G119" s="950"/>
      <c r="H119" s="950"/>
      <c r="I119" s="950"/>
      <c r="J119" s="950"/>
      <c r="K119" s="950"/>
      <c r="L119" s="950"/>
      <c r="M119" s="951"/>
    </row>
    <row r="120" spans="1:13" ht="5.85" customHeight="1">
      <c r="A120" s="520"/>
      <c r="B120" s="520"/>
      <c r="C120" s="520"/>
      <c r="D120" s="520"/>
      <c r="E120" s="520"/>
      <c r="F120" s="520"/>
      <c r="G120" s="520"/>
      <c r="H120" s="520"/>
      <c r="I120" s="520"/>
      <c r="J120" s="520"/>
      <c r="K120" s="520"/>
      <c r="L120" s="520"/>
      <c r="M120" s="520"/>
    </row>
    <row r="121" spans="1:13" ht="17.100000000000001" customHeight="1">
      <c r="A121" s="875" t="s">
        <v>2180</v>
      </c>
      <c r="B121" s="877"/>
      <c r="C121" s="886" t="s">
        <v>1916</v>
      </c>
      <c r="D121" s="887"/>
      <c r="E121" s="887"/>
      <c r="F121" s="887"/>
      <c r="G121" s="887"/>
      <c r="H121" s="887"/>
      <c r="I121" s="887"/>
      <c r="J121" s="887"/>
      <c r="K121" s="887"/>
      <c r="L121" s="887"/>
      <c r="M121" s="888"/>
    </row>
    <row r="122" spans="1:13" ht="11.85" customHeight="1">
      <c r="A122" s="927" t="s">
        <v>2181</v>
      </c>
      <c r="B122" s="928"/>
      <c r="C122" s="547"/>
      <c r="D122" s="511"/>
      <c r="E122" s="511"/>
      <c r="F122" s="511"/>
      <c r="G122" s="511"/>
      <c r="H122" s="868" t="s">
        <v>2182</v>
      </c>
      <c r="I122" s="867"/>
      <c r="J122" s="867"/>
      <c r="K122" s="867"/>
      <c r="L122" s="867"/>
      <c r="M122" s="868"/>
    </row>
    <row r="123" spans="1:13" ht="11.85" customHeight="1">
      <c r="A123" s="934" t="s">
        <v>2183</v>
      </c>
      <c r="B123" s="935"/>
      <c r="C123" s="513"/>
      <c r="H123" s="873" t="s">
        <v>895</v>
      </c>
      <c r="I123" s="872"/>
      <c r="J123" s="872"/>
      <c r="K123" s="872"/>
      <c r="L123" s="872"/>
      <c r="M123" s="873"/>
    </row>
    <row r="124" spans="1:13" ht="14.85" customHeight="1">
      <c r="A124" s="934" t="s">
        <v>2184</v>
      </c>
      <c r="B124" s="935"/>
      <c r="C124" s="513"/>
      <c r="H124" s="873" t="s">
        <v>2182</v>
      </c>
      <c r="I124" s="872"/>
      <c r="J124" s="872"/>
      <c r="K124" s="872"/>
      <c r="L124" s="872"/>
      <c r="M124" s="873"/>
    </row>
    <row r="125" spans="1:13" ht="11.85" customHeight="1">
      <c r="A125" s="929" t="s">
        <v>1918</v>
      </c>
      <c r="B125" s="930"/>
      <c r="C125" s="548"/>
      <c r="D125" s="502"/>
      <c r="E125" s="502"/>
      <c r="F125" s="502"/>
      <c r="G125" s="502"/>
      <c r="H125" s="899" t="s">
        <v>1919</v>
      </c>
      <c r="I125" s="898"/>
      <c r="J125" s="898"/>
      <c r="K125" s="898"/>
      <c r="L125" s="898"/>
      <c r="M125" s="899"/>
    </row>
    <row r="126" spans="1:13" ht="11.85" customHeight="1">
      <c r="A126" s="511"/>
      <c r="B126" s="511"/>
      <c r="C126" s="511"/>
      <c r="D126" s="511"/>
      <c r="E126" s="511"/>
      <c r="F126" s="511"/>
      <c r="G126" s="511"/>
      <c r="H126" s="511"/>
      <c r="I126" s="511"/>
      <c r="J126" s="511"/>
      <c r="K126" s="511"/>
      <c r="L126" s="511"/>
      <c r="M126" s="511"/>
    </row>
    <row r="127" spans="1:13" ht="5.85" customHeight="1"/>
    <row r="128" spans="1:13" ht="11.1" customHeight="1"/>
    <row r="129" spans="1:13" ht="17.850000000000001" customHeight="1"/>
    <row r="130" spans="1:13" ht="11.85" customHeight="1"/>
    <row r="131" spans="1:13" ht="11.85" customHeight="1">
      <c r="A131" s="916" t="s">
        <v>2118</v>
      </c>
      <c r="B131" s="916"/>
      <c r="C131" s="916"/>
      <c r="D131" s="916"/>
      <c r="E131" s="916"/>
      <c r="F131" s="916"/>
      <c r="G131" s="916"/>
      <c r="H131" s="916"/>
      <c r="I131" s="916"/>
      <c r="J131" s="916"/>
      <c r="K131" s="916"/>
      <c r="L131" s="916"/>
      <c r="M131" s="916"/>
    </row>
  </sheetData>
  <mergeCells count="275">
    <mergeCell ref="A124:B124"/>
    <mergeCell ref="H124:M124"/>
    <mergeCell ref="A125:B125"/>
    <mergeCell ref="H125:M125"/>
    <mergeCell ref="A131:M131"/>
    <mergeCell ref="A121:B121"/>
    <mergeCell ref="C121:M121"/>
    <mergeCell ref="A122:B122"/>
    <mergeCell ref="H122:M122"/>
    <mergeCell ref="A123:B123"/>
    <mergeCell ref="H123:M123"/>
    <mergeCell ref="A116:B116"/>
    <mergeCell ref="H116:M116"/>
    <mergeCell ref="A117:B117"/>
    <mergeCell ref="C117:M117"/>
    <mergeCell ref="A118:M118"/>
    <mergeCell ref="A119:B119"/>
    <mergeCell ref="C119:M119"/>
    <mergeCell ref="A113:B113"/>
    <mergeCell ref="H113:M113"/>
    <mergeCell ref="A114:B114"/>
    <mergeCell ref="H114:M114"/>
    <mergeCell ref="A115:B115"/>
    <mergeCell ref="H115:M115"/>
    <mergeCell ref="A110:B110"/>
    <mergeCell ref="H110:M110"/>
    <mergeCell ref="A111:B111"/>
    <mergeCell ref="H111:M111"/>
    <mergeCell ref="A112:B112"/>
    <mergeCell ref="H112:M112"/>
    <mergeCell ref="A106:B106"/>
    <mergeCell ref="C106:G106"/>
    <mergeCell ref="H106:M106"/>
    <mergeCell ref="A107:B107"/>
    <mergeCell ref="C107:M107"/>
    <mergeCell ref="A109:B109"/>
    <mergeCell ref="C109:M109"/>
    <mergeCell ref="A104:B104"/>
    <mergeCell ref="C104:G104"/>
    <mergeCell ref="H104:M104"/>
    <mergeCell ref="A105:B105"/>
    <mergeCell ref="C105:G105"/>
    <mergeCell ref="H105:M105"/>
    <mergeCell ref="A102:B102"/>
    <mergeCell ref="C102:G102"/>
    <mergeCell ref="H102:M102"/>
    <mergeCell ref="A103:B103"/>
    <mergeCell ref="C103:G103"/>
    <mergeCell ref="H103:M103"/>
    <mergeCell ref="A100:B100"/>
    <mergeCell ref="C100:G100"/>
    <mergeCell ref="H100:M100"/>
    <mergeCell ref="A101:B101"/>
    <mergeCell ref="C101:G101"/>
    <mergeCell ref="H101:M101"/>
    <mergeCell ref="A94:B94"/>
    <mergeCell ref="C94:M94"/>
    <mergeCell ref="A95:M95"/>
    <mergeCell ref="A96:M96"/>
    <mergeCell ref="A97:B99"/>
    <mergeCell ref="C97:M97"/>
    <mergeCell ref="C98:G98"/>
    <mergeCell ref="H98:M98"/>
    <mergeCell ref="C99:G99"/>
    <mergeCell ref="H99:M99"/>
    <mergeCell ref="A90:M90"/>
    <mergeCell ref="A91:B91"/>
    <mergeCell ref="C91:M91"/>
    <mergeCell ref="A92:M92"/>
    <mergeCell ref="A93:B93"/>
    <mergeCell ref="C93:M93"/>
    <mergeCell ref="A86:B87"/>
    <mergeCell ref="C86:M86"/>
    <mergeCell ref="C87:M87"/>
    <mergeCell ref="A88:B88"/>
    <mergeCell ref="C88:M88"/>
    <mergeCell ref="A89:B89"/>
    <mergeCell ref="C89:M89"/>
    <mergeCell ref="A81:B81"/>
    <mergeCell ref="C81:M81"/>
    <mergeCell ref="A83:B83"/>
    <mergeCell ref="C83:M83"/>
    <mergeCell ref="A84:B84"/>
    <mergeCell ref="C84:M84"/>
    <mergeCell ref="A79:B79"/>
    <mergeCell ref="D79:E79"/>
    <mergeCell ref="G79:H79"/>
    <mergeCell ref="I79:J79"/>
    <mergeCell ref="K79:L79"/>
    <mergeCell ref="A80:M80"/>
    <mergeCell ref="A76:D76"/>
    <mergeCell ref="A78:B78"/>
    <mergeCell ref="D78:E78"/>
    <mergeCell ref="G78:H78"/>
    <mergeCell ref="I78:J78"/>
    <mergeCell ref="K78:L78"/>
    <mergeCell ref="A71:M71"/>
    <mergeCell ref="A72:D72"/>
    <mergeCell ref="L72:M72"/>
    <mergeCell ref="A73:D73"/>
    <mergeCell ref="A74:D74"/>
    <mergeCell ref="A75:D75"/>
    <mergeCell ref="A68:B68"/>
    <mergeCell ref="D68:E68"/>
    <mergeCell ref="G68:H68"/>
    <mergeCell ref="I68:J68"/>
    <mergeCell ref="K68:L68"/>
    <mergeCell ref="A69:B69"/>
    <mergeCell ref="D69:E69"/>
    <mergeCell ref="G69:H69"/>
    <mergeCell ref="I69:J69"/>
    <mergeCell ref="K69:L69"/>
    <mergeCell ref="A66:B66"/>
    <mergeCell ref="D66:E66"/>
    <mergeCell ref="G66:H66"/>
    <mergeCell ref="I66:J66"/>
    <mergeCell ref="K66:L66"/>
    <mergeCell ref="A67:B67"/>
    <mergeCell ref="D67:E67"/>
    <mergeCell ref="G67:H67"/>
    <mergeCell ref="I67:J67"/>
    <mergeCell ref="K67:L67"/>
    <mergeCell ref="A64:B64"/>
    <mergeCell ref="D64:E64"/>
    <mergeCell ref="G64:H64"/>
    <mergeCell ref="I64:J64"/>
    <mergeCell ref="K64:L64"/>
    <mergeCell ref="A65:B65"/>
    <mergeCell ref="D65:E65"/>
    <mergeCell ref="G65:H65"/>
    <mergeCell ref="I65:J65"/>
    <mergeCell ref="K65:L65"/>
    <mergeCell ref="A62:B62"/>
    <mergeCell ref="D62:E62"/>
    <mergeCell ref="G62:H62"/>
    <mergeCell ref="I62:J62"/>
    <mergeCell ref="K62:L62"/>
    <mergeCell ref="A63:B63"/>
    <mergeCell ref="D63:E63"/>
    <mergeCell ref="G63:H63"/>
    <mergeCell ref="I63:J63"/>
    <mergeCell ref="K63:L63"/>
    <mergeCell ref="A60:B60"/>
    <mergeCell ref="D60:E60"/>
    <mergeCell ref="G60:H60"/>
    <mergeCell ref="I60:J60"/>
    <mergeCell ref="K60:L60"/>
    <mergeCell ref="A61:B61"/>
    <mergeCell ref="D61:E61"/>
    <mergeCell ref="G61:H61"/>
    <mergeCell ref="I61:J61"/>
    <mergeCell ref="K61:L61"/>
    <mergeCell ref="A58:B58"/>
    <mergeCell ref="D58:E58"/>
    <mergeCell ref="G58:H58"/>
    <mergeCell ref="I58:J58"/>
    <mergeCell ref="K58:L58"/>
    <mergeCell ref="A59:B59"/>
    <mergeCell ref="D59:E59"/>
    <mergeCell ref="G59:H59"/>
    <mergeCell ref="I59:J59"/>
    <mergeCell ref="K59:L59"/>
    <mergeCell ref="K56:L56"/>
    <mergeCell ref="A57:B57"/>
    <mergeCell ref="D57:E57"/>
    <mergeCell ref="G57:H57"/>
    <mergeCell ref="I57:J57"/>
    <mergeCell ref="K57:L57"/>
    <mergeCell ref="G55:H55"/>
    <mergeCell ref="I55:J55"/>
    <mergeCell ref="A56:B56"/>
    <mergeCell ref="D56:E56"/>
    <mergeCell ref="G56:H56"/>
    <mergeCell ref="I56:J56"/>
    <mergeCell ref="A52:B55"/>
    <mergeCell ref="C52:C55"/>
    <mergeCell ref="D52:M52"/>
    <mergeCell ref="D53:E55"/>
    <mergeCell ref="F53:F55"/>
    <mergeCell ref="G53:H54"/>
    <mergeCell ref="I53:J54"/>
    <mergeCell ref="K53:M53"/>
    <mergeCell ref="K54:L55"/>
    <mergeCell ref="M54:M55"/>
    <mergeCell ref="A48:B48"/>
    <mergeCell ref="D48:M48"/>
    <mergeCell ref="A49:B49"/>
    <mergeCell ref="D49:M49"/>
    <mergeCell ref="A50:B50"/>
    <mergeCell ref="D50:M50"/>
    <mergeCell ref="A45:B45"/>
    <mergeCell ref="D45:M45"/>
    <mergeCell ref="A46:B46"/>
    <mergeCell ref="D46:M46"/>
    <mergeCell ref="A47:B47"/>
    <mergeCell ref="D47:M47"/>
    <mergeCell ref="A42:B42"/>
    <mergeCell ref="D42:M42"/>
    <mergeCell ref="A43:B43"/>
    <mergeCell ref="D43:M43"/>
    <mergeCell ref="A44:B44"/>
    <mergeCell ref="D44:M44"/>
    <mergeCell ref="A39:B39"/>
    <mergeCell ref="D39:M39"/>
    <mergeCell ref="A40:B40"/>
    <mergeCell ref="D40:M40"/>
    <mergeCell ref="A41:B41"/>
    <mergeCell ref="D41:M41"/>
    <mergeCell ref="A36:B36"/>
    <mergeCell ref="D36:M36"/>
    <mergeCell ref="A37:B37"/>
    <mergeCell ref="D37:M37"/>
    <mergeCell ref="A38:B38"/>
    <mergeCell ref="D38:M38"/>
    <mergeCell ref="A33:B33"/>
    <mergeCell ref="D33:M33"/>
    <mergeCell ref="A34:B34"/>
    <mergeCell ref="D34:M34"/>
    <mergeCell ref="A35:B35"/>
    <mergeCell ref="D35:M35"/>
    <mergeCell ref="A30:B30"/>
    <mergeCell ref="D30:M30"/>
    <mergeCell ref="A31:B31"/>
    <mergeCell ref="D31:M31"/>
    <mergeCell ref="A32:B32"/>
    <mergeCell ref="D32:M32"/>
    <mergeCell ref="A27:B27"/>
    <mergeCell ref="D27:M27"/>
    <mergeCell ref="A28:B28"/>
    <mergeCell ref="D28:M28"/>
    <mergeCell ref="A29:B29"/>
    <mergeCell ref="D29:M29"/>
    <mergeCell ref="A24:B24"/>
    <mergeCell ref="D24:M24"/>
    <mergeCell ref="A25:B25"/>
    <mergeCell ref="D25:M25"/>
    <mergeCell ref="A26:B26"/>
    <mergeCell ref="D26:M26"/>
    <mergeCell ref="A21:B21"/>
    <mergeCell ref="D21:M21"/>
    <mergeCell ref="A22:B22"/>
    <mergeCell ref="D22:M22"/>
    <mergeCell ref="A23:B23"/>
    <mergeCell ref="D23:M23"/>
    <mergeCell ref="A18:B18"/>
    <mergeCell ref="D18:M18"/>
    <mergeCell ref="A19:B19"/>
    <mergeCell ref="D19:M19"/>
    <mergeCell ref="A20:B20"/>
    <mergeCell ref="D20:M20"/>
    <mergeCell ref="A15:B15"/>
    <mergeCell ref="D15:M15"/>
    <mergeCell ref="A16:B16"/>
    <mergeCell ref="D16:M16"/>
    <mergeCell ref="A17:B17"/>
    <mergeCell ref="D17:M17"/>
    <mergeCell ref="A14:B14"/>
    <mergeCell ref="D14:M14"/>
    <mergeCell ref="J7:M7"/>
    <mergeCell ref="A8:M8"/>
    <mergeCell ref="A9:B11"/>
    <mergeCell ref="C9:C11"/>
    <mergeCell ref="D9:M9"/>
    <mergeCell ref="D10:M10"/>
    <mergeCell ref="D11:M11"/>
    <mergeCell ref="A1:D1"/>
    <mergeCell ref="L1:M1"/>
    <mergeCell ref="A2:D2"/>
    <mergeCell ref="A3:D3"/>
    <mergeCell ref="A4:D4"/>
    <mergeCell ref="A5:D5"/>
    <mergeCell ref="A12:B12"/>
    <mergeCell ref="D12:M12"/>
    <mergeCell ref="A13:B13"/>
    <mergeCell ref="D13:M13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2:M21"/>
  <sheetViews>
    <sheetView workbookViewId="0">
      <selection activeCell="F20" sqref="F20"/>
    </sheetView>
  </sheetViews>
  <sheetFormatPr defaultRowHeight="15"/>
  <cols>
    <col min="1" max="1" width="32.7109375" customWidth="1"/>
    <col min="2" max="2" width="12" bestFit="1" customWidth="1"/>
    <col min="3" max="3" width="13.5703125" bestFit="1" customWidth="1"/>
    <col min="4" max="4" width="11.140625" bestFit="1" customWidth="1"/>
    <col min="5" max="5" width="8.85546875" bestFit="1" customWidth="1"/>
    <col min="6" max="6" width="12" bestFit="1" customWidth="1"/>
    <col min="7" max="7" width="10" bestFit="1" customWidth="1"/>
    <col min="8" max="8" width="13.5703125" bestFit="1" customWidth="1"/>
    <col min="9" max="10" width="11.140625" bestFit="1" customWidth="1"/>
    <col min="11" max="11" width="8.85546875" bestFit="1" customWidth="1"/>
    <col min="12" max="12" width="11.140625" bestFit="1" customWidth="1"/>
    <col min="13" max="13" width="12" bestFit="1" customWidth="1"/>
  </cols>
  <sheetData>
    <row r="2" spans="1:13">
      <c r="A2" s="698" t="s">
        <v>881</v>
      </c>
      <c r="B2" s="698"/>
      <c r="C2" s="698"/>
      <c r="D2" s="698"/>
      <c r="E2" s="698"/>
      <c r="F2" s="698"/>
      <c r="G2" s="698"/>
      <c r="H2" s="698"/>
      <c r="I2" s="698"/>
      <c r="J2" s="698"/>
      <c r="K2" s="698"/>
      <c r="L2" s="698"/>
      <c r="M2" s="698"/>
    </row>
    <row r="3" spans="1:13">
      <c r="A3" s="698" t="s">
        <v>882</v>
      </c>
      <c r="B3" s="698"/>
      <c r="C3" s="698"/>
      <c r="D3" s="698"/>
      <c r="E3" s="698"/>
      <c r="F3" s="698"/>
      <c r="G3" s="698"/>
      <c r="H3" s="698"/>
      <c r="I3" s="698"/>
      <c r="J3" s="698"/>
      <c r="K3" s="698"/>
      <c r="L3" s="698"/>
      <c r="M3" s="698"/>
    </row>
    <row r="4" spans="1:13">
      <c r="A4" s="699" t="s">
        <v>2185</v>
      </c>
      <c r="B4" s="699"/>
      <c r="C4" s="699"/>
      <c r="D4" s="699"/>
      <c r="E4" s="699"/>
      <c r="F4" s="699"/>
      <c r="G4" s="699"/>
      <c r="H4" s="699"/>
      <c r="I4" s="699"/>
      <c r="J4" s="699"/>
      <c r="K4" s="699"/>
      <c r="L4" s="699"/>
      <c r="M4" s="699"/>
    </row>
    <row r="5" spans="1:13">
      <c r="A5" s="698" t="s">
        <v>884</v>
      </c>
      <c r="B5" s="698"/>
      <c r="C5" s="698"/>
      <c r="D5" s="698"/>
      <c r="E5" s="698"/>
      <c r="F5" s="698"/>
      <c r="G5" s="698"/>
      <c r="H5" s="698"/>
      <c r="I5" s="698"/>
      <c r="J5" s="698"/>
      <c r="K5" s="698"/>
      <c r="L5" s="698"/>
      <c r="M5" s="698"/>
    </row>
    <row r="6" spans="1:13">
      <c r="A6" s="698" t="s">
        <v>885</v>
      </c>
      <c r="B6" s="698"/>
      <c r="C6" s="698"/>
      <c r="D6" s="698"/>
      <c r="E6" s="698"/>
      <c r="F6" s="698"/>
      <c r="G6" s="698"/>
      <c r="H6" s="698"/>
      <c r="I6" s="698"/>
      <c r="J6" s="698"/>
      <c r="K6" s="698"/>
      <c r="L6" s="698"/>
      <c r="M6" s="698"/>
    </row>
    <row r="8" spans="1:13" ht="15.75" thickBot="1">
      <c r="A8" s="681" t="s">
        <v>2186</v>
      </c>
      <c r="B8" s="681"/>
      <c r="C8" s="681"/>
      <c r="D8" s="681"/>
      <c r="E8" s="681"/>
      <c r="F8" s="681"/>
      <c r="G8" s="681"/>
      <c r="H8" s="681"/>
      <c r="I8" s="681"/>
      <c r="J8" s="681"/>
      <c r="K8" s="681"/>
      <c r="L8" s="681"/>
      <c r="M8" s="549" t="s">
        <v>1312</v>
      </c>
    </row>
    <row r="9" spans="1:13">
      <c r="A9" s="673" t="s">
        <v>2187</v>
      </c>
      <c r="B9" s="952" t="s">
        <v>932</v>
      </c>
      <c r="C9" s="953"/>
      <c r="D9" s="953"/>
      <c r="E9" s="953"/>
      <c r="F9" s="953"/>
      <c r="G9" s="952" t="s">
        <v>2188</v>
      </c>
      <c r="H9" s="673"/>
      <c r="I9" s="673"/>
      <c r="J9" s="673"/>
      <c r="K9" s="673"/>
      <c r="L9" s="673"/>
      <c r="M9" s="952" t="s">
        <v>2189</v>
      </c>
    </row>
    <row r="10" spans="1:13" ht="15.75" thickBot="1">
      <c r="A10" s="659"/>
      <c r="B10" s="954"/>
      <c r="C10" s="955"/>
      <c r="D10" s="955"/>
      <c r="E10" s="955"/>
      <c r="F10" s="955"/>
      <c r="G10" s="956"/>
      <c r="H10" s="659"/>
      <c r="I10" s="659"/>
      <c r="J10" s="659"/>
      <c r="K10" s="659"/>
      <c r="L10" s="659"/>
      <c r="M10" s="956"/>
    </row>
    <row r="11" spans="1:13" ht="15.75" thickBot="1">
      <c r="A11" s="674"/>
      <c r="B11" s="675" t="s">
        <v>2190</v>
      </c>
      <c r="C11" s="675"/>
      <c r="D11" s="688" t="s">
        <v>2191</v>
      </c>
      <c r="E11" s="688" t="s">
        <v>2192</v>
      </c>
      <c r="F11" s="688" t="s">
        <v>931</v>
      </c>
      <c r="G11" s="675" t="s">
        <v>2190</v>
      </c>
      <c r="H11" s="675"/>
      <c r="I11" s="688" t="s">
        <v>2063</v>
      </c>
      <c r="J11" s="688" t="s">
        <v>2191</v>
      </c>
      <c r="K11" s="688" t="s">
        <v>2192</v>
      </c>
      <c r="L11" s="688" t="s">
        <v>931</v>
      </c>
      <c r="M11" s="952"/>
    </row>
    <row r="12" spans="1:13">
      <c r="A12" s="660"/>
      <c r="B12" s="470" t="s">
        <v>2193</v>
      </c>
      <c r="C12" s="470" t="s">
        <v>2194</v>
      </c>
      <c r="D12" s="957"/>
      <c r="E12" s="691"/>
      <c r="F12" s="691"/>
      <c r="G12" s="470" t="s">
        <v>2193</v>
      </c>
      <c r="H12" s="470" t="s">
        <v>2194</v>
      </c>
      <c r="I12" s="691"/>
      <c r="J12" s="691"/>
      <c r="K12" s="691"/>
      <c r="L12" s="691"/>
      <c r="M12" s="956"/>
    </row>
    <row r="13" spans="1:13">
      <c r="A13" s="660"/>
      <c r="B13" s="470" t="s">
        <v>2195</v>
      </c>
      <c r="C13" s="470" t="s">
        <v>2196</v>
      </c>
      <c r="D13" s="957"/>
      <c r="E13" s="691"/>
      <c r="F13" s="691"/>
      <c r="G13" s="470" t="s">
        <v>2195</v>
      </c>
      <c r="H13" s="470" t="s">
        <v>2196</v>
      </c>
      <c r="I13" s="691"/>
      <c r="J13" s="691"/>
      <c r="K13" s="691"/>
      <c r="L13" s="691"/>
      <c r="M13" s="956"/>
    </row>
    <row r="14" spans="1:13" ht="15.75" thickBot="1">
      <c r="A14" s="660"/>
      <c r="B14" s="470" t="s">
        <v>922</v>
      </c>
      <c r="C14" s="470" t="s">
        <v>923</v>
      </c>
      <c r="D14" s="470" t="s">
        <v>2197</v>
      </c>
      <c r="E14" s="470" t="s">
        <v>1323</v>
      </c>
      <c r="F14" s="470" t="s">
        <v>2198</v>
      </c>
      <c r="G14" s="470" t="s">
        <v>2199</v>
      </c>
      <c r="H14" s="470" t="s">
        <v>2200</v>
      </c>
      <c r="I14" s="470" t="s">
        <v>2201</v>
      </c>
      <c r="J14" s="470" t="s">
        <v>2202</v>
      </c>
      <c r="K14" s="470" t="s">
        <v>2203</v>
      </c>
      <c r="L14" s="470" t="s">
        <v>2204</v>
      </c>
      <c r="M14" s="471" t="s">
        <v>2205</v>
      </c>
    </row>
    <row r="15" spans="1:13">
      <c r="A15" s="466" t="s">
        <v>2206</v>
      </c>
      <c r="B15" s="550">
        <v>1303549.9099999999</v>
      </c>
      <c r="C15" s="550">
        <v>2281327.08</v>
      </c>
      <c r="D15" s="550">
        <v>2151364.7799999998</v>
      </c>
      <c r="E15" s="550">
        <v>7518.73</v>
      </c>
      <c r="F15" s="550">
        <v>1425993.48</v>
      </c>
      <c r="G15" s="550">
        <v>509042.12</v>
      </c>
      <c r="H15" s="550">
        <v>2247573.0299999998</v>
      </c>
      <c r="I15" s="550">
        <v>1217861.94</v>
      </c>
      <c r="J15" s="550">
        <v>1129516.18</v>
      </c>
      <c r="K15" s="550">
        <v>3887.19</v>
      </c>
      <c r="L15" s="550">
        <v>1623211.78</v>
      </c>
      <c r="M15" s="551">
        <v>3049205.26</v>
      </c>
    </row>
    <row r="16" spans="1:13">
      <c r="A16" s="552" t="s">
        <v>2207</v>
      </c>
      <c r="B16" s="553">
        <v>1303549.9099999999</v>
      </c>
      <c r="C16" s="553">
        <v>2279176.17</v>
      </c>
      <c r="D16" s="553">
        <v>2149213.87</v>
      </c>
      <c r="E16" s="553">
        <v>7518.73</v>
      </c>
      <c r="F16" s="553">
        <v>1425993.48</v>
      </c>
      <c r="G16" s="553">
        <v>509042.12</v>
      </c>
      <c r="H16" s="553">
        <v>2247573.0299999998</v>
      </c>
      <c r="I16" s="553">
        <v>1217861.94</v>
      </c>
      <c r="J16" s="553">
        <v>1129516.18</v>
      </c>
      <c r="K16" s="553">
        <v>3887.19</v>
      </c>
      <c r="L16" s="553">
        <v>1623211.78</v>
      </c>
      <c r="M16" s="554">
        <v>3049205.26</v>
      </c>
    </row>
    <row r="17" spans="1:13">
      <c r="A17" s="552" t="s">
        <v>2208</v>
      </c>
      <c r="B17" s="553">
        <v>0</v>
      </c>
      <c r="C17" s="553">
        <v>2150.91</v>
      </c>
      <c r="D17" s="553">
        <v>2150.91</v>
      </c>
      <c r="E17" s="553">
        <v>0</v>
      </c>
      <c r="F17" s="553">
        <v>0</v>
      </c>
      <c r="G17" s="553">
        <v>0</v>
      </c>
      <c r="H17" s="553">
        <v>0</v>
      </c>
      <c r="I17" s="553">
        <v>0</v>
      </c>
      <c r="J17" s="553">
        <v>0</v>
      </c>
      <c r="K17" s="553">
        <v>0</v>
      </c>
      <c r="L17" s="553">
        <v>0</v>
      </c>
      <c r="M17" s="554">
        <v>0</v>
      </c>
    </row>
    <row r="18" spans="1:13">
      <c r="A18" s="555" t="s">
        <v>2209</v>
      </c>
      <c r="B18" s="553">
        <v>0</v>
      </c>
      <c r="C18" s="553">
        <v>2150.91</v>
      </c>
      <c r="D18" s="553">
        <v>2150.91</v>
      </c>
      <c r="E18" s="553">
        <v>0</v>
      </c>
      <c r="F18" s="553">
        <v>0</v>
      </c>
      <c r="G18" s="553">
        <v>0</v>
      </c>
      <c r="H18" s="553">
        <v>0</v>
      </c>
      <c r="I18" s="553">
        <v>0</v>
      </c>
      <c r="J18" s="553">
        <v>0</v>
      </c>
      <c r="K18" s="553">
        <v>0</v>
      </c>
      <c r="L18" s="553">
        <v>0</v>
      </c>
      <c r="M18" s="554">
        <v>0</v>
      </c>
    </row>
    <row r="19" spans="1:13">
      <c r="A19" s="467" t="s">
        <v>2210</v>
      </c>
      <c r="B19" s="553">
        <v>14044179.27</v>
      </c>
      <c r="C19" s="553">
        <v>9054967.9199999999</v>
      </c>
      <c r="D19" s="553">
        <v>4470701.37</v>
      </c>
      <c r="E19" s="553">
        <v>0</v>
      </c>
      <c r="F19" s="553">
        <v>18628445.82</v>
      </c>
      <c r="G19" s="553">
        <v>0</v>
      </c>
      <c r="H19" s="553">
        <v>0</v>
      </c>
      <c r="I19" s="553">
        <v>0</v>
      </c>
      <c r="J19" s="553">
        <v>0</v>
      </c>
      <c r="K19" s="553">
        <v>0</v>
      </c>
      <c r="L19" s="553">
        <v>0</v>
      </c>
      <c r="M19" s="554">
        <v>18628445.82</v>
      </c>
    </row>
    <row r="20" spans="1:13" ht="15.75" thickBot="1">
      <c r="A20" s="552" t="s">
        <v>2207</v>
      </c>
      <c r="B20" s="553">
        <v>14044179.27</v>
      </c>
      <c r="C20" s="553">
        <v>9054967.9199999999</v>
      </c>
      <c r="D20" s="553">
        <v>4470701.37</v>
      </c>
      <c r="E20" s="553">
        <v>0</v>
      </c>
      <c r="F20" s="553">
        <v>18628445.82</v>
      </c>
      <c r="G20" s="553">
        <v>0</v>
      </c>
      <c r="H20" s="553">
        <v>0</v>
      </c>
      <c r="I20" s="553">
        <v>0</v>
      </c>
      <c r="J20" s="553">
        <v>0</v>
      </c>
      <c r="K20" s="553">
        <v>0</v>
      </c>
      <c r="L20" s="553">
        <v>0</v>
      </c>
      <c r="M20" s="554">
        <v>18628445.82</v>
      </c>
    </row>
    <row r="21" spans="1:13" ht="15.75" thickBot="1">
      <c r="A21" s="556" t="s">
        <v>2211</v>
      </c>
      <c r="B21" s="557">
        <v>15347729.18</v>
      </c>
      <c r="C21" s="557">
        <v>11336295</v>
      </c>
      <c r="D21" s="557">
        <v>6622066.1500000004</v>
      </c>
      <c r="E21" s="557">
        <v>7518.73</v>
      </c>
      <c r="F21" s="557">
        <v>20054439.300000001</v>
      </c>
      <c r="G21" s="557">
        <v>509042.12</v>
      </c>
      <c r="H21" s="557">
        <v>2247573.0299999998</v>
      </c>
      <c r="I21" s="557">
        <v>1217861.94</v>
      </c>
      <c r="J21" s="557">
        <v>1129516.18</v>
      </c>
      <c r="K21" s="557">
        <v>3887.19</v>
      </c>
      <c r="L21" s="557">
        <v>1623211.78</v>
      </c>
      <c r="M21" s="558">
        <v>21677651.079999998</v>
      </c>
    </row>
  </sheetData>
  <mergeCells count="19">
    <mergeCell ref="A9:A14"/>
    <mergeCell ref="B9:F10"/>
    <mergeCell ref="G9:L10"/>
    <mergeCell ref="M9:M13"/>
    <mergeCell ref="B11:C11"/>
    <mergeCell ref="D11:D13"/>
    <mergeCell ref="E11:E13"/>
    <mergeCell ref="F11:F13"/>
    <mergeCell ref="G11:H11"/>
    <mergeCell ref="I11:I13"/>
    <mergeCell ref="J11:J13"/>
    <mergeCell ref="K11:K13"/>
    <mergeCell ref="L11:L13"/>
    <mergeCell ref="A8:L8"/>
    <mergeCell ref="A2:M2"/>
    <mergeCell ref="A3:M3"/>
    <mergeCell ref="A4:M4"/>
    <mergeCell ref="A5:M5"/>
    <mergeCell ref="A6:M6"/>
  </mergeCells>
  <pageMargins left="0.511811024" right="0.511811024" top="0.78740157499999996" bottom="0.78740157499999996" header="0.31496062000000002" footer="0.3149606200000000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R193"/>
  <sheetViews>
    <sheetView topLeftCell="A119" workbookViewId="0">
      <selection activeCell="T15" sqref="T15"/>
    </sheetView>
  </sheetViews>
  <sheetFormatPr defaultRowHeight="15"/>
  <cols>
    <col min="1" max="1" width="59.140625" customWidth="1"/>
    <col min="2" max="2" width="12.5703125" customWidth="1"/>
    <col min="3" max="3" width="0.5703125" customWidth="1"/>
    <col min="4" max="4" width="4.140625" customWidth="1"/>
    <col min="5" max="5" width="1" customWidth="1"/>
    <col min="6" max="6" width="7" customWidth="1"/>
    <col min="7" max="7" width="5" customWidth="1"/>
    <col min="8" max="8" width="7.5703125" customWidth="1"/>
    <col min="9" max="9" width="5.7109375" customWidth="1"/>
    <col min="10" max="10" width="7.5703125" customWidth="1"/>
    <col min="11" max="11" width="0.5703125" customWidth="1"/>
    <col min="12" max="12" width="1" customWidth="1"/>
    <col min="13" max="13" width="4" customWidth="1"/>
    <col min="14" max="14" width="1" customWidth="1"/>
    <col min="15" max="15" width="6" customWidth="1"/>
    <col min="16" max="16" width="1" customWidth="1"/>
    <col min="17" max="17" width="11.140625" customWidth="1"/>
    <col min="18" max="18" width="0.5703125" customWidth="1"/>
  </cols>
  <sheetData>
    <row r="1" spans="1:18" ht="11.85" customHeight="1">
      <c r="A1" s="861" t="s">
        <v>1405</v>
      </c>
      <c r="B1" s="861"/>
      <c r="C1" s="861"/>
      <c r="Q1" s="559" t="s">
        <v>1835</v>
      </c>
    </row>
    <row r="2" spans="1:18" ht="11.1" customHeight="1">
      <c r="A2" s="861" t="s">
        <v>1836</v>
      </c>
      <c r="B2" s="861"/>
      <c r="C2" s="861"/>
    </row>
    <row r="3" spans="1:18" ht="11.85" customHeight="1">
      <c r="A3" s="863" t="s">
        <v>2212</v>
      </c>
      <c r="B3" s="863"/>
      <c r="C3" s="863"/>
      <c r="D3" s="863"/>
      <c r="E3" s="863"/>
      <c r="F3" s="863"/>
      <c r="G3" s="863"/>
      <c r="H3" s="863"/>
      <c r="I3" s="863"/>
      <c r="J3" s="863"/>
      <c r="K3" s="863"/>
      <c r="L3" s="863"/>
    </row>
    <row r="4" spans="1:18" ht="11.85" customHeight="1">
      <c r="A4" s="861" t="s">
        <v>1838</v>
      </c>
      <c r="B4" s="861"/>
      <c r="C4" s="861"/>
    </row>
    <row r="5" spans="1:18" ht="11.85" customHeight="1">
      <c r="A5" s="861" t="s">
        <v>885</v>
      </c>
      <c r="B5" s="861"/>
      <c r="C5" s="861"/>
    </row>
    <row r="6" spans="1:18" ht="5.85" customHeight="1"/>
    <row r="7" spans="1:18" ht="11.1" customHeight="1">
      <c r="A7" s="958" t="s">
        <v>2213</v>
      </c>
      <c r="B7" s="958"/>
      <c r="C7" s="958"/>
      <c r="D7" s="502"/>
      <c r="E7" s="502"/>
      <c r="F7" s="502"/>
      <c r="G7" s="502"/>
      <c r="H7" s="502"/>
      <c r="I7" s="502"/>
      <c r="J7" s="502"/>
      <c r="K7" s="502"/>
      <c r="L7" s="874" t="s">
        <v>887</v>
      </c>
      <c r="M7" s="874"/>
      <c r="N7" s="874"/>
      <c r="O7" s="874"/>
      <c r="P7" s="874"/>
      <c r="Q7" s="874"/>
    </row>
    <row r="8" spans="1:18" ht="11.85" customHeight="1">
      <c r="A8" s="875" t="s">
        <v>2214</v>
      </c>
      <c r="B8" s="876"/>
      <c r="C8" s="876"/>
      <c r="D8" s="876"/>
      <c r="E8" s="876"/>
      <c r="F8" s="876"/>
      <c r="G8" s="876"/>
      <c r="H8" s="876"/>
      <c r="I8" s="876"/>
      <c r="J8" s="876"/>
      <c r="K8" s="876"/>
      <c r="L8" s="876"/>
      <c r="M8" s="876"/>
      <c r="N8" s="876"/>
      <c r="O8" s="876"/>
      <c r="P8" s="876"/>
      <c r="Q8" s="877"/>
      <c r="R8" s="513"/>
    </row>
    <row r="9" spans="1:18" ht="28.9" customHeight="1">
      <c r="A9" s="560" t="s">
        <v>2215</v>
      </c>
      <c r="B9" s="959" t="s">
        <v>1843</v>
      </c>
      <c r="C9" s="960"/>
      <c r="D9" s="960"/>
      <c r="E9" s="960"/>
      <c r="F9" s="960"/>
      <c r="G9" s="961"/>
      <c r="H9" s="959" t="s">
        <v>1844</v>
      </c>
      <c r="I9" s="960"/>
      <c r="J9" s="960"/>
      <c r="K9" s="960"/>
      <c r="L9" s="960"/>
      <c r="M9" s="960"/>
      <c r="N9" s="960"/>
      <c r="O9" s="960"/>
      <c r="P9" s="960"/>
      <c r="Q9" s="961"/>
      <c r="R9" s="513"/>
    </row>
    <row r="10" spans="1:18" s="3" customFormat="1" ht="14.85" customHeight="1">
      <c r="A10" s="561" t="s">
        <v>2216</v>
      </c>
      <c r="B10" s="866" t="s">
        <v>2217</v>
      </c>
      <c r="C10" s="867"/>
      <c r="D10" s="867"/>
      <c r="E10" s="867"/>
      <c r="F10" s="867"/>
      <c r="G10" s="868"/>
      <c r="H10" s="866" t="s">
        <v>2218</v>
      </c>
      <c r="I10" s="867"/>
      <c r="J10" s="867"/>
      <c r="K10" s="867"/>
      <c r="L10" s="867"/>
      <c r="M10" s="867"/>
      <c r="N10" s="867"/>
      <c r="O10" s="867"/>
      <c r="P10" s="867"/>
      <c r="Q10" s="868"/>
      <c r="R10" s="536"/>
    </row>
    <row r="11" spans="1:18" s="3" customFormat="1" ht="14.85" customHeight="1">
      <c r="A11" s="562" t="s">
        <v>2219</v>
      </c>
      <c r="B11" s="871" t="s">
        <v>1463</v>
      </c>
      <c r="C11" s="872"/>
      <c r="D11" s="872"/>
      <c r="E11" s="872"/>
      <c r="F11" s="872"/>
      <c r="G11" s="873"/>
      <c r="H11" s="871" t="s">
        <v>1993</v>
      </c>
      <c r="I11" s="872"/>
      <c r="J11" s="872"/>
      <c r="K11" s="872"/>
      <c r="L11" s="872"/>
      <c r="M11" s="872"/>
      <c r="N11" s="872"/>
      <c r="O11" s="872"/>
      <c r="P11" s="872"/>
      <c r="Q11" s="873"/>
      <c r="R11" s="536"/>
    </row>
    <row r="12" spans="1:18" s="3" customFormat="1" ht="14.85" customHeight="1">
      <c r="A12" s="562" t="s">
        <v>2220</v>
      </c>
      <c r="B12" s="871" t="s">
        <v>1492</v>
      </c>
      <c r="C12" s="872"/>
      <c r="D12" s="872"/>
      <c r="E12" s="872"/>
      <c r="F12" s="872"/>
      <c r="G12" s="873"/>
      <c r="H12" s="871" t="s">
        <v>1995</v>
      </c>
      <c r="I12" s="872"/>
      <c r="J12" s="872"/>
      <c r="K12" s="872"/>
      <c r="L12" s="872"/>
      <c r="M12" s="872"/>
      <c r="N12" s="872"/>
      <c r="O12" s="872"/>
      <c r="P12" s="872"/>
      <c r="Q12" s="873"/>
      <c r="R12" s="536"/>
    </row>
    <row r="13" spans="1:18" s="3" customFormat="1" ht="14.1" customHeight="1">
      <c r="A13" s="562" t="s">
        <v>2221</v>
      </c>
      <c r="B13" s="871" t="s">
        <v>1478</v>
      </c>
      <c r="C13" s="872"/>
      <c r="D13" s="872"/>
      <c r="E13" s="872"/>
      <c r="F13" s="872"/>
      <c r="G13" s="873"/>
      <c r="H13" s="871" t="s">
        <v>1994</v>
      </c>
      <c r="I13" s="872"/>
      <c r="J13" s="872"/>
      <c r="K13" s="872"/>
      <c r="L13" s="872"/>
      <c r="M13" s="872"/>
      <c r="N13" s="872"/>
      <c r="O13" s="872"/>
      <c r="P13" s="872"/>
      <c r="Q13" s="873"/>
      <c r="R13" s="536"/>
    </row>
    <row r="14" spans="1:18" s="3" customFormat="1" ht="14.85" customHeight="1">
      <c r="A14" s="562" t="s">
        <v>2222</v>
      </c>
      <c r="B14" s="871" t="s">
        <v>1506</v>
      </c>
      <c r="C14" s="872"/>
      <c r="D14" s="872"/>
      <c r="E14" s="872"/>
      <c r="F14" s="872"/>
      <c r="G14" s="873"/>
      <c r="H14" s="871" t="s">
        <v>1996</v>
      </c>
      <c r="I14" s="872"/>
      <c r="J14" s="872"/>
      <c r="K14" s="872"/>
      <c r="L14" s="872"/>
      <c r="M14" s="872"/>
      <c r="N14" s="872"/>
      <c r="O14" s="872"/>
      <c r="P14" s="872"/>
      <c r="Q14" s="873"/>
      <c r="R14" s="536"/>
    </row>
    <row r="15" spans="1:18" s="3" customFormat="1" ht="14.85" customHeight="1">
      <c r="A15" s="562" t="s">
        <v>2223</v>
      </c>
      <c r="B15" s="871" t="s">
        <v>2224</v>
      </c>
      <c r="C15" s="872"/>
      <c r="D15" s="872"/>
      <c r="E15" s="872"/>
      <c r="F15" s="872"/>
      <c r="G15" s="873"/>
      <c r="H15" s="871" t="s">
        <v>2225</v>
      </c>
      <c r="I15" s="872"/>
      <c r="J15" s="872"/>
      <c r="K15" s="872"/>
      <c r="L15" s="872"/>
      <c r="M15" s="872"/>
      <c r="N15" s="872"/>
      <c r="O15" s="872"/>
      <c r="P15" s="872"/>
      <c r="Q15" s="873"/>
      <c r="R15" s="536"/>
    </row>
    <row r="16" spans="1:18" s="3" customFormat="1" ht="14.1" customHeight="1">
      <c r="A16" s="562" t="s">
        <v>2226</v>
      </c>
      <c r="B16" s="871" t="s">
        <v>1640</v>
      </c>
      <c r="C16" s="872"/>
      <c r="D16" s="872"/>
      <c r="E16" s="872"/>
      <c r="F16" s="872"/>
      <c r="G16" s="873"/>
      <c r="H16" s="871" t="s">
        <v>2227</v>
      </c>
      <c r="I16" s="872"/>
      <c r="J16" s="872"/>
      <c r="K16" s="872"/>
      <c r="L16" s="872"/>
      <c r="M16" s="872"/>
      <c r="N16" s="872"/>
      <c r="O16" s="872"/>
      <c r="P16" s="872"/>
      <c r="Q16" s="873"/>
      <c r="R16" s="536"/>
    </row>
    <row r="17" spans="1:18" s="3" customFormat="1" ht="14.85" customHeight="1">
      <c r="A17" s="562" t="s">
        <v>2228</v>
      </c>
      <c r="B17" s="871" t="s">
        <v>2229</v>
      </c>
      <c r="C17" s="872"/>
      <c r="D17" s="872"/>
      <c r="E17" s="872"/>
      <c r="F17" s="872"/>
      <c r="G17" s="873"/>
      <c r="H17" s="871" t="s">
        <v>2230</v>
      </c>
      <c r="I17" s="872"/>
      <c r="J17" s="872"/>
      <c r="K17" s="872"/>
      <c r="L17" s="872"/>
      <c r="M17" s="872"/>
      <c r="N17" s="872"/>
      <c r="O17" s="872"/>
      <c r="P17" s="872"/>
      <c r="Q17" s="873"/>
      <c r="R17" s="536"/>
    </row>
    <row r="18" spans="1:18" s="3" customFormat="1" ht="14.85" customHeight="1">
      <c r="A18" s="562" t="s">
        <v>2231</v>
      </c>
      <c r="B18" s="871" t="s">
        <v>2232</v>
      </c>
      <c r="C18" s="872"/>
      <c r="D18" s="872"/>
      <c r="E18" s="872"/>
      <c r="F18" s="872"/>
      <c r="G18" s="873"/>
      <c r="H18" s="871" t="s">
        <v>2233</v>
      </c>
      <c r="I18" s="872"/>
      <c r="J18" s="872"/>
      <c r="K18" s="872"/>
      <c r="L18" s="872"/>
      <c r="M18" s="872"/>
      <c r="N18" s="872"/>
      <c r="O18" s="872"/>
      <c r="P18" s="872"/>
      <c r="Q18" s="873"/>
      <c r="R18" s="536"/>
    </row>
    <row r="19" spans="1:18" s="3" customFormat="1" ht="14.1" customHeight="1">
      <c r="A19" s="562" t="s">
        <v>2234</v>
      </c>
      <c r="B19" s="871" t="s">
        <v>1655</v>
      </c>
      <c r="C19" s="872"/>
      <c r="D19" s="872"/>
      <c r="E19" s="872"/>
      <c r="F19" s="872"/>
      <c r="G19" s="873"/>
      <c r="H19" s="871" t="s">
        <v>2235</v>
      </c>
      <c r="I19" s="872"/>
      <c r="J19" s="872"/>
      <c r="K19" s="872"/>
      <c r="L19" s="872"/>
      <c r="M19" s="872"/>
      <c r="N19" s="872"/>
      <c r="O19" s="872"/>
      <c r="P19" s="872"/>
      <c r="Q19" s="873"/>
      <c r="R19" s="536"/>
    </row>
    <row r="20" spans="1:18" s="3" customFormat="1" ht="14.85" customHeight="1">
      <c r="A20" s="562" t="s">
        <v>2236</v>
      </c>
      <c r="B20" s="871" t="s">
        <v>1705</v>
      </c>
      <c r="C20" s="872"/>
      <c r="D20" s="872"/>
      <c r="E20" s="872"/>
      <c r="F20" s="872"/>
      <c r="G20" s="873"/>
      <c r="H20" s="871" t="s">
        <v>2237</v>
      </c>
      <c r="I20" s="872"/>
      <c r="J20" s="872"/>
      <c r="K20" s="872"/>
      <c r="L20" s="872"/>
      <c r="M20" s="872"/>
      <c r="N20" s="872"/>
      <c r="O20" s="872"/>
      <c r="P20" s="872"/>
      <c r="Q20" s="873"/>
      <c r="R20" s="536"/>
    </row>
    <row r="21" spans="1:18" s="3" customFormat="1" ht="14.85" customHeight="1">
      <c r="A21" s="562" t="s">
        <v>2238</v>
      </c>
      <c r="B21" s="871" t="s">
        <v>1687</v>
      </c>
      <c r="C21" s="872"/>
      <c r="D21" s="872"/>
      <c r="E21" s="872"/>
      <c r="F21" s="872"/>
      <c r="G21" s="873"/>
      <c r="H21" s="871" t="s">
        <v>2239</v>
      </c>
      <c r="I21" s="872"/>
      <c r="J21" s="872"/>
      <c r="K21" s="872"/>
      <c r="L21" s="872"/>
      <c r="M21" s="872"/>
      <c r="N21" s="872"/>
      <c r="O21" s="872"/>
      <c r="P21" s="872"/>
      <c r="Q21" s="873"/>
      <c r="R21" s="536"/>
    </row>
    <row r="22" spans="1:18" s="3" customFormat="1" ht="14.1" customHeight="1">
      <c r="A22" s="562" t="s">
        <v>2240</v>
      </c>
      <c r="B22" s="871" t="s">
        <v>1670</v>
      </c>
      <c r="C22" s="872"/>
      <c r="D22" s="872"/>
      <c r="E22" s="872"/>
      <c r="F22" s="872"/>
      <c r="G22" s="873"/>
      <c r="H22" s="871" t="s">
        <v>2241</v>
      </c>
      <c r="I22" s="872"/>
      <c r="J22" s="872"/>
      <c r="K22" s="872"/>
      <c r="L22" s="872"/>
      <c r="M22" s="872"/>
      <c r="N22" s="872"/>
      <c r="O22" s="872"/>
      <c r="P22" s="872"/>
      <c r="Q22" s="873"/>
      <c r="R22" s="536"/>
    </row>
    <row r="23" spans="1:18" s="3" customFormat="1" ht="13.5" customHeight="1">
      <c r="A23" s="562" t="s">
        <v>2242</v>
      </c>
      <c r="B23" s="871" t="s">
        <v>895</v>
      </c>
      <c r="C23" s="872"/>
      <c r="D23" s="872"/>
      <c r="E23" s="872"/>
      <c r="F23" s="872"/>
      <c r="G23" s="873"/>
      <c r="H23" s="871" t="s">
        <v>895</v>
      </c>
      <c r="I23" s="872"/>
      <c r="J23" s="872"/>
      <c r="K23" s="872"/>
      <c r="L23" s="872"/>
      <c r="M23" s="872"/>
      <c r="N23" s="872"/>
      <c r="O23" s="872"/>
      <c r="P23" s="872"/>
      <c r="Q23" s="873"/>
      <c r="R23" s="536"/>
    </row>
    <row r="24" spans="1:18" s="3" customFormat="1" ht="14.85" customHeight="1">
      <c r="A24" s="562" t="s">
        <v>2243</v>
      </c>
      <c r="B24" s="871" t="s">
        <v>895</v>
      </c>
      <c r="C24" s="872"/>
      <c r="D24" s="872"/>
      <c r="E24" s="872"/>
      <c r="F24" s="872"/>
      <c r="G24" s="873"/>
      <c r="H24" s="871" t="s">
        <v>895</v>
      </c>
      <c r="I24" s="872"/>
      <c r="J24" s="872"/>
      <c r="K24" s="872"/>
      <c r="L24" s="872"/>
      <c r="M24" s="872"/>
      <c r="N24" s="872"/>
      <c r="O24" s="872"/>
      <c r="P24" s="872"/>
      <c r="Q24" s="873"/>
      <c r="R24" s="536"/>
    </row>
    <row r="25" spans="1:18" ht="14.1" customHeight="1">
      <c r="A25" s="563" t="s">
        <v>2244</v>
      </c>
      <c r="B25" s="962" t="s">
        <v>2245</v>
      </c>
      <c r="C25" s="963"/>
      <c r="D25" s="963"/>
      <c r="E25" s="963"/>
      <c r="F25" s="963"/>
      <c r="G25" s="964"/>
      <c r="H25" s="962" t="s">
        <v>2246</v>
      </c>
      <c r="I25" s="963"/>
      <c r="J25" s="963"/>
      <c r="K25" s="963"/>
      <c r="L25" s="963"/>
      <c r="M25" s="963"/>
      <c r="N25" s="963"/>
      <c r="O25" s="963"/>
      <c r="P25" s="963"/>
      <c r="Q25" s="964"/>
      <c r="R25" s="513"/>
    </row>
    <row r="26" spans="1:18" ht="14.85" customHeight="1">
      <c r="A26" s="563" t="s">
        <v>2247</v>
      </c>
      <c r="B26" s="962" t="s">
        <v>2248</v>
      </c>
      <c r="C26" s="963"/>
      <c r="D26" s="963"/>
      <c r="E26" s="963"/>
      <c r="F26" s="963"/>
      <c r="G26" s="964"/>
      <c r="H26" s="962" t="s">
        <v>2249</v>
      </c>
      <c r="I26" s="963"/>
      <c r="J26" s="963"/>
      <c r="K26" s="963"/>
      <c r="L26" s="963"/>
      <c r="M26" s="963"/>
      <c r="N26" s="963"/>
      <c r="O26" s="963"/>
      <c r="P26" s="963"/>
      <c r="Q26" s="964"/>
      <c r="R26" s="513"/>
    </row>
    <row r="27" spans="1:18" ht="14.85" customHeight="1">
      <c r="A27" s="564" t="s">
        <v>2250</v>
      </c>
      <c r="B27" s="965" t="s">
        <v>2251</v>
      </c>
      <c r="C27" s="966"/>
      <c r="D27" s="966"/>
      <c r="E27" s="966"/>
      <c r="F27" s="966"/>
      <c r="G27" s="967"/>
      <c r="H27" s="965" t="s">
        <v>2252</v>
      </c>
      <c r="I27" s="966"/>
      <c r="J27" s="966"/>
      <c r="K27" s="966"/>
      <c r="L27" s="966"/>
      <c r="M27" s="966"/>
      <c r="N27" s="966"/>
      <c r="O27" s="966"/>
      <c r="P27" s="966"/>
      <c r="Q27" s="967"/>
      <c r="R27" s="513"/>
    </row>
    <row r="28" spans="1:18" ht="11.85" customHeight="1">
      <c r="A28" s="520"/>
      <c r="B28" s="520"/>
      <c r="C28" s="520"/>
      <c r="D28" s="520"/>
      <c r="E28" s="520"/>
      <c r="F28" s="520"/>
      <c r="G28" s="520"/>
      <c r="H28" s="520"/>
      <c r="I28" s="520"/>
      <c r="J28" s="520"/>
      <c r="K28" s="520"/>
      <c r="L28" s="520"/>
      <c r="M28" s="520"/>
      <c r="N28" s="520"/>
      <c r="O28" s="520"/>
      <c r="P28" s="520"/>
      <c r="Q28" s="520"/>
    </row>
    <row r="29" spans="1:18" ht="11.1" customHeight="1">
      <c r="A29" s="875" t="s">
        <v>236</v>
      </c>
      <c r="B29" s="876"/>
      <c r="C29" s="876"/>
      <c r="D29" s="876"/>
      <c r="E29" s="876"/>
      <c r="F29" s="876"/>
      <c r="G29" s="876"/>
      <c r="H29" s="876"/>
      <c r="I29" s="876"/>
      <c r="J29" s="876"/>
      <c r="K29" s="876"/>
      <c r="L29" s="876"/>
      <c r="M29" s="876"/>
      <c r="N29" s="876"/>
      <c r="O29" s="876"/>
      <c r="P29" s="876"/>
      <c r="Q29" s="877"/>
      <c r="R29" s="513"/>
    </row>
    <row r="30" spans="1:18" ht="29.65" customHeight="1">
      <c r="A30" s="560" t="s">
        <v>2253</v>
      </c>
      <c r="B30" s="959" t="s">
        <v>1843</v>
      </c>
      <c r="C30" s="960"/>
      <c r="D30" s="960"/>
      <c r="E30" s="960"/>
      <c r="F30" s="960"/>
      <c r="G30" s="961"/>
      <c r="H30" s="959" t="s">
        <v>1844</v>
      </c>
      <c r="I30" s="960"/>
      <c r="J30" s="960"/>
      <c r="K30" s="960"/>
      <c r="L30" s="960"/>
      <c r="M30" s="960"/>
      <c r="N30" s="960"/>
      <c r="O30" s="960"/>
      <c r="P30" s="960"/>
      <c r="Q30" s="961"/>
      <c r="R30" s="513"/>
    </row>
    <row r="31" spans="1:18" ht="11.1" customHeight="1">
      <c r="A31" s="561" t="s">
        <v>2254</v>
      </c>
      <c r="B31" s="866" t="s">
        <v>1720</v>
      </c>
      <c r="C31" s="867"/>
      <c r="D31" s="867"/>
      <c r="E31" s="867"/>
      <c r="F31" s="867"/>
      <c r="G31" s="868"/>
      <c r="H31" s="866" t="s">
        <v>2017</v>
      </c>
      <c r="I31" s="867"/>
      <c r="J31" s="867"/>
      <c r="K31" s="867"/>
      <c r="L31" s="867"/>
      <c r="M31" s="867"/>
      <c r="N31" s="867"/>
      <c r="O31" s="867"/>
      <c r="P31" s="867"/>
      <c r="Q31" s="868"/>
      <c r="R31" s="513"/>
    </row>
    <row r="32" spans="1:18" ht="11.85" customHeight="1">
      <c r="A32" s="562" t="s">
        <v>2255</v>
      </c>
      <c r="B32" s="871" t="s">
        <v>1720</v>
      </c>
      <c r="C32" s="872"/>
      <c r="D32" s="872"/>
      <c r="E32" s="872"/>
      <c r="F32" s="872"/>
      <c r="G32" s="873"/>
      <c r="H32" s="871" t="s">
        <v>2017</v>
      </c>
      <c r="I32" s="872"/>
      <c r="J32" s="872"/>
      <c r="K32" s="872"/>
      <c r="L32" s="872"/>
      <c r="M32" s="872"/>
      <c r="N32" s="872"/>
      <c r="O32" s="872"/>
      <c r="P32" s="872"/>
      <c r="Q32" s="873"/>
      <c r="R32" s="513"/>
    </row>
    <row r="33" spans="1:18" ht="11.85" customHeight="1">
      <c r="A33" s="562" t="s">
        <v>2256</v>
      </c>
      <c r="B33" s="871" t="s">
        <v>1720</v>
      </c>
      <c r="C33" s="872"/>
      <c r="D33" s="872"/>
      <c r="E33" s="872"/>
      <c r="F33" s="872"/>
      <c r="G33" s="873"/>
      <c r="H33" s="871" t="s">
        <v>2017</v>
      </c>
      <c r="I33" s="872"/>
      <c r="J33" s="872"/>
      <c r="K33" s="872"/>
      <c r="L33" s="872"/>
      <c r="M33" s="872"/>
      <c r="N33" s="872"/>
      <c r="O33" s="872"/>
      <c r="P33" s="872"/>
      <c r="Q33" s="873"/>
      <c r="R33" s="513"/>
    </row>
    <row r="34" spans="1:18" ht="11.85" customHeight="1">
      <c r="A34" s="562" t="s">
        <v>2257</v>
      </c>
      <c r="B34" s="871" t="s">
        <v>895</v>
      </c>
      <c r="C34" s="872"/>
      <c r="D34" s="872"/>
      <c r="E34" s="872"/>
      <c r="F34" s="872"/>
      <c r="G34" s="873"/>
      <c r="H34" s="871" t="s">
        <v>895</v>
      </c>
      <c r="I34" s="872"/>
      <c r="J34" s="872"/>
      <c r="K34" s="872"/>
      <c r="L34" s="872"/>
      <c r="M34" s="872"/>
      <c r="N34" s="872"/>
      <c r="O34" s="872"/>
      <c r="P34" s="872"/>
      <c r="Q34" s="873"/>
      <c r="R34" s="513"/>
    </row>
    <row r="35" spans="1:18" ht="11.1" customHeight="1">
      <c r="A35" s="562" t="s">
        <v>2258</v>
      </c>
      <c r="B35" s="871" t="s">
        <v>895</v>
      </c>
      <c r="C35" s="872"/>
      <c r="D35" s="872"/>
      <c r="E35" s="872"/>
      <c r="F35" s="872"/>
      <c r="G35" s="873"/>
      <c r="H35" s="871" t="s">
        <v>895</v>
      </c>
      <c r="I35" s="872"/>
      <c r="J35" s="872"/>
      <c r="K35" s="872"/>
      <c r="L35" s="872"/>
      <c r="M35" s="872"/>
      <c r="N35" s="872"/>
      <c r="O35" s="872"/>
      <c r="P35" s="872"/>
      <c r="Q35" s="873"/>
      <c r="R35" s="513"/>
    </row>
    <row r="36" spans="1:18" ht="11.85" customHeight="1">
      <c r="A36" s="562" t="s">
        <v>2259</v>
      </c>
      <c r="B36" s="871" t="s">
        <v>895</v>
      </c>
      <c r="C36" s="872"/>
      <c r="D36" s="872"/>
      <c r="E36" s="872"/>
      <c r="F36" s="872"/>
      <c r="G36" s="873"/>
      <c r="H36" s="871" t="s">
        <v>895</v>
      </c>
      <c r="I36" s="872"/>
      <c r="J36" s="872"/>
      <c r="K36" s="872"/>
      <c r="L36" s="872"/>
      <c r="M36" s="872"/>
      <c r="N36" s="872"/>
      <c r="O36" s="872"/>
      <c r="P36" s="872"/>
      <c r="Q36" s="873"/>
      <c r="R36" s="513"/>
    </row>
    <row r="37" spans="1:18" ht="11.85" customHeight="1">
      <c r="A37" s="562" t="s">
        <v>2260</v>
      </c>
      <c r="B37" s="871" t="s">
        <v>895</v>
      </c>
      <c r="C37" s="872"/>
      <c r="D37" s="872"/>
      <c r="E37" s="872"/>
      <c r="F37" s="872"/>
      <c r="G37" s="873"/>
      <c r="H37" s="871" t="s">
        <v>895</v>
      </c>
      <c r="I37" s="872"/>
      <c r="J37" s="872"/>
      <c r="K37" s="872"/>
      <c r="L37" s="872"/>
      <c r="M37" s="872"/>
      <c r="N37" s="872"/>
      <c r="O37" s="872"/>
      <c r="P37" s="872"/>
      <c r="Q37" s="873"/>
      <c r="R37" s="513"/>
    </row>
    <row r="38" spans="1:18" ht="11.85" customHeight="1">
      <c r="A38" s="562" t="s">
        <v>2261</v>
      </c>
      <c r="B38" s="871" t="s">
        <v>895</v>
      </c>
      <c r="C38" s="872"/>
      <c r="D38" s="872"/>
      <c r="E38" s="872"/>
      <c r="F38" s="872"/>
      <c r="G38" s="873"/>
      <c r="H38" s="871" t="s">
        <v>895</v>
      </c>
      <c r="I38" s="872"/>
      <c r="J38" s="872"/>
      <c r="K38" s="872"/>
      <c r="L38" s="872"/>
      <c r="M38" s="872"/>
      <c r="N38" s="872"/>
      <c r="O38" s="872"/>
      <c r="P38" s="872"/>
      <c r="Q38" s="873"/>
      <c r="R38" s="513"/>
    </row>
    <row r="39" spans="1:18" ht="11.1" customHeight="1">
      <c r="A39" s="562" t="s">
        <v>2262</v>
      </c>
      <c r="B39" s="871" t="s">
        <v>895</v>
      </c>
      <c r="C39" s="872"/>
      <c r="D39" s="872"/>
      <c r="E39" s="872"/>
      <c r="F39" s="872"/>
      <c r="G39" s="873"/>
      <c r="H39" s="871" t="s">
        <v>895</v>
      </c>
      <c r="I39" s="872"/>
      <c r="J39" s="872"/>
      <c r="K39" s="872"/>
      <c r="L39" s="872"/>
      <c r="M39" s="872"/>
      <c r="N39" s="872"/>
      <c r="O39" s="872"/>
      <c r="P39" s="872"/>
      <c r="Q39" s="873"/>
      <c r="R39" s="513"/>
    </row>
    <row r="40" spans="1:18" ht="5.85" customHeight="1"/>
    <row r="41" spans="1:18" ht="11.85" customHeight="1">
      <c r="A41" s="968" t="s">
        <v>2263</v>
      </c>
      <c r="B41" s="968"/>
      <c r="C41" s="968"/>
      <c r="D41" s="968"/>
      <c r="E41" s="968"/>
      <c r="F41" s="968"/>
      <c r="G41" s="968"/>
      <c r="H41" s="968"/>
      <c r="I41" s="968"/>
      <c r="J41" s="968"/>
      <c r="K41" s="968"/>
      <c r="L41" s="968"/>
      <c r="M41" s="968"/>
      <c r="N41" s="968"/>
      <c r="O41" s="968"/>
      <c r="P41" s="968"/>
      <c r="Q41" s="968"/>
    </row>
    <row r="42" spans="1:18" ht="11.85" customHeight="1">
      <c r="A42" s="861" t="s">
        <v>1405</v>
      </c>
      <c r="B42" s="861"/>
      <c r="C42" s="861"/>
      <c r="Q42" s="559" t="s">
        <v>1914</v>
      </c>
    </row>
    <row r="43" spans="1:18" ht="11.1" customHeight="1">
      <c r="A43" s="861" t="s">
        <v>1836</v>
      </c>
      <c r="B43" s="861"/>
      <c r="C43" s="861"/>
    </row>
    <row r="44" spans="1:18" ht="11.85" customHeight="1">
      <c r="A44" s="863" t="s">
        <v>2212</v>
      </c>
      <c r="B44" s="863"/>
      <c r="C44" s="863"/>
      <c r="D44" s="863"/>
      <c r="E44" s="863"/>
      <c r="F44" s="863"/>
      <c r="G44" s="863"/>
      <c r="H44" s="863"/>
      <c r="I44" s="863"/>
      <c r="J44" s="863"/>
      <c r="K44" s="863"/>
      <c r="L44" s="863"/>
    </row>
    <row r="45" spans="1:18" ht="11.85" customHeight="1">
      <c r="A45" s="861" t="s">
        <v>1838</v>
      </c>
      <c r="B45" s="861"/>
      <c r="C45" s="861"/>
    </row>
    <row r="46" spans="1:18" ht="11.85" customHeight="1">
      <c r="A46" s="861" t="s">
        <v>885</v>
      </c>
      <c r="B46" s="861"/>
      <c r="C46" s="861"/>
    </row>
    <row r="47" spans="1:18" ht="5.85" customHeight="1"/>
    <row r="48" spans="1:18" ht="11.1" customHeight="1">
      <c r="A48" s="958" t="s">
        <v>2213</v>
      </c>
      <c r="B48" s="958"/>
      <c r="C48" s="958"/>
      <c r="D48" s="502"/>
      <c r="E48" s="502"/>
      <c r="F48" s="502"/>
      <c r="G48" s="502"/>
      <c r="H48" s="502"/>
      <c r="I48" s="502"/>
      <c r="J48" s="502"/>
      <c r="K48" s="502"/>
      <c r="L48" s="874" t="s">
        <v>887</v>
      </c>
      <c r="M48" s="874"/>
      <c r="N48" s="874"/>
      <c r="O48" s="874"/>
      <c r="P48" s="874"/>
      <c r="Q48" s="874"/>
    </row>
    <row r="49" spans="1:18" ht="11.85" customHeight="1">
      <c r="A49" s="875" t="s">
        <v>236</v>
      </c>
      <c r="B49" s="876"/>
      <c r="C49" s="876"/>
      <c r="D49" s="876"/>
      <c r="E49" s="876"/>
      <c r="F49" s="876"/>
      <c r="G49" s="876"/>
      <c r="H49" s="876"/>
      <c r="I49" s="876"/>
      <c r="J49" s="876"/>
      <c r="K49" s="876"/>
      <c r="L49" s="876"/>
      <c r="M49" s="876"/>
      <c r="N49" s="876"/>
      <c r="O49" s="876"/>
      <c r="P49" s="876"/>
      <c r="Q49" s="877"/>
      <c r="R49" s="513"/>
    </row>
    <row r="50" spans="1:18" ht="28.9" customHeight="1">
      <c r="A50" s="560" t="s">
        <v>2253</v>
      </c>
      <c r="B50" s="959" t="s">
        <v>1843</v>
      </c>
      <c r="C50" s="960"/>
      <c r="D50" s="960"/>
      <c r="E50" s="960"/>
      <c r="F50" s="960"/>
      <c r="G50" s="961"/>
      <c r="H50" s="959" t="s">
        <v>1844</v>
      </c>
      <c r="I50" s="960"/>
      <c r="J50" s="960"/>
      <c r="K50" s="960"/>
      <c r="L50" s="960"/>
      <c r="M50" s="960"/>
      <c r="N50" s="960"/>
      <c r="O50" s="960"/>
      <c r="P50" s="960"/>
      <c r="Q50" s="961"/>
      <c r="R50" s="513"/>
    </row>
    <row r="51" spans="1:18" ht="11.85" customHeight="1">
      <c r="A51" s="561" t="s">
        <v>2264</v>
      </c>
      <c r="B51" s="866" t="s">
        <v>895</v>
      </c>
      <c r="C51" s="867"/>
      <c r="D51" s="867"/>
      <c r="E51" s="867"/>
      <c r="F51" s="867"/>
      <c r="G51" s="868"/>
      <c r="H51" s="866" t="s">
        <v>895</v>
      </c>
      <c r="I51" s="867"/>
      <c r="J51" s="867"/>
      <c r="K51" s="867"/>
      <c r="L51" s="867"/>
      <c r="M51" s="867"/>
      <c r="N51" s="867"/>
      <c r="O51" s="867"/>
      <c r="P51" s="867"/>
      <c r="Q51" s="868"/>
      <c r="R51" s="513"/>
    </row>
    <row r="52" spans="1:18" ht="11.85" customHeight="1">
      <c r="A52" s="565" t="s">
        <v>2265</v>
      </c>
      <c r="B52" s="897" t="s">
        <v>2266</v>
      </c>
      <c r="C52" s="898"/>
      <c r="D52" s="898"/>
      <c r="E52" s="898"/>
      <c r="F52" s="898"/>
      <c r="G52" s="899"/>
      <c r="H52" s="897" t="s">
        <v>2267</v>
      </c>
      <c r="I52" s="898"/>
      <c r="J52" s="898"/>
      <c r="K52" s="898"/>
      <c r="L52" s="898"/>
      <c r="M52" s="898"/>
      <c r="N52" s="898"/>
      <c r="O52" s="898"/>
      <c r="P52" s="898"/>
      <c r="Q52" s="899"/>
      <c r="R52" s="513"/>
    </row>
    <row r="53" spans="1:18" ht="11.85" customHeight="1">
      <c r="A53" s="520"/>
      <c r="B53" s="520"/>
      <c r="C53" s="520"/>
      <c r="D53" s="520"/>
      <c r="E53" s="520"/>
      <c r="F53" s="520"/>
      <c r="G53" s="520"/>
      <c r="H53" s="520"/>
      <c r="I53" s="520"/>
      <c r="J53" s="520"/>
      <c r="K53" s="520"/>
      <c r="L53" s="520"/>
      <c r="M53" s="520"/>
      <c r="N53" s="520"/>
      <c r="O53" s="520"/>
      <c r="P53" s="520"/>
      <c r="Q53" s="520"/>
    </row>
    <row r="54" spans="1:18" ht="17.100000000000001" customHeight="1">
      <c r="A54" s="560" t="s">
        <v>2268</v>
      </c>
      <c r="B54" s="959" t="s">
        <v>1917</v>
      </c>
      <c r="C54" s="960"/>
      <c r="D54" s="960"/>
      <c r="E54" s="960"/>
      <c r="F54" s="960"/>
      <c r="G54" s="960"/>
      <c r="H54" s="960"/>
      <c r="I54" s="960"/>
      <c r="J54" s="960"/>
      <c r="K54" s="960"/>
      <c r="L54" s="960"/>
      <c r="M54" s="960"/>
      <c r="N54" s="960"/>
      <c r="O54" s="960"/>
      <c r="P54" s="960"/>
      <c r="Q54" s="961"/>
      <c r="R54" s="513"/>
    </row>
    <row r="55" spans="1:18" ht="11.85" customHeight="1">
      <c r="A55" s="561" t="s">
        <v>2269</v>
      </c>
      <c r="B55" s="866" t="s">
        <v>895</v>
      </c>
      <c r="C55" s="867"/>
      <c r="D55" s="867"/>
      <c r="E55" s="867"/>
      <c r="F55" s="867"/>
      <c r="G55" s="867"/>
      <c r="H55" s="867"/>
      <c r="I55" s="867"/>
      <c r="J55" s="867"/>
      <c r="K55" s="867"/>
      <c r="L55" s="867"/>
      <c r="M55" s="867"/>
      <c r="N55" s="867"/>
      <c r="O55" s="867"/>
      <c r="P55" s="867"/>
      <c r="Q55" s="868"/>
      <c r="R55" s="513"/>
    </row>
    <row r="56" spans="1:18" ht="11.85" customHeight="1">
      <c r="A56" s="562" t="s">
        <v>2270</v>
      </c>
      <c r="B56" s="871" t="s">
        <v>895</v>
      </c>
      <c r="C56" s="872"/>
      <c r="D56" s="872"/>
      <c r="E56" s="872"/>
      <c r="F56" s="872"/>
      <c r="G56" s="872"/>
      <c r="H56" s="872"/>
      <c r="I56" s="872"/>
      <c r="J56" s="872"/>
      <c r="K56" s="872"/>
      <c r="L56" s="872"/>
      <c r="M56" s="872"/>
      <c r="N56" s="872"/>
      <c r="O56" s="872"/>
      <c r="P56" s="872"/>
      <c r="Q56" s="873"/>
      <c r="R56" s="513"/>
    </row>
    <row r="57" spans="1:18" ht="11.85" customHeight="1">
      <c r="A57" s="565" t="s">
        <v>2271</v>
      </c>
      <c r="B57" s="897" t="s">
        <v>895</v>
      </c>
      <c r="C57" s="898"/>
      <c r="D57" s="898"/>
      <c r="E57" s="898"/>
      <c r="F57" s="898"/>
      <c r="G57" s="898"/>
      <c r="H57" s="898"/>
      <c r="I57" s="898"/>
      <c r="J57" s="898"/>
      <c r="K57" s="898"/>
      <c r="L57" s="898"/>
      <c r="M57" s="898"/>
      <c r="N57" s="898"/>
      <c r="O57" s="898"/>
      <c r="P57" s="898"/>
      <c r="Q57" s="899"/>
      <c r="R57" s="513"/>
    </row>
    <row r="58" spans="1:18" ht="11.1" customHeight="1">
      <c r="A58" s="566" t="s">
        <v>2272</v>
      </c>
      <c r="B58" s="969" t="s">
        <v>2017</v>
      </c>
      <c r="C58" s="970"/>
      <c r="D58" s="970"/>
      <c r="E58" s="970"/>
      <c r="F58" s="970"/>
      <c r="G58" s="970"/>
      <c r="H58" s="970"/>
      <c r="I58" s="970"/>
      <c r="J58" s="970"/>
      <c r="K58" s="970"/>
      <c r="L58" s="970"/>
      <c r="M58" s="970"/>
      <c r="N58" s="970"/>
      <c r="O58" s="970"/>
      <c r="P58" s="970"/>
      <c r="Q58" s="971"/>
      <c r="R58" s="513"/>
    </row>
    <row r="59" spans="1:18" ht="11.85" customHeight="1">
      <c r="A59" s="520"/>
      <c r="B59" s="520"/>
      <c r="C59" s="520"/>
      <c r="D59" s="520"/>
      <c r="E59" s="520"/>
      <c r="F59" s="520"/>
      <c r="G59" s="520"/>
      <c r="H59" s="520"/>
      <c r="I59" s="520"/>
      <c r="J59" s="520"/>
      <c r="K59" s="520"/>
      <c r="L59" s="520"/>
      <c r="M59" s="520"/>
      <c r="N59" s="520"/>
      <c r="O59" s="520"/>
      <c r="P59" s="520"/>
      <c r="Q59" s="520"/>
    </row>
    <row r="60" spans="1:18" ht="34.700000000000003" customHeight="1">
      <c r="A60" s="567" t="s">
        <v>2273</v>
      </c>
      <c r="B60" s="959" t="s">
        <v>1889</v>
      </c>
      <c r="C60" s="960"/>
      <c r="D60" s="961"/>
      <c r="E60" s="959" t="s">
        <v>1890</v>
      </c>
      <c r="F60" s="960"/>
      <c r="G60" s="961"/>
      <c r="H60" s="959" t="s">
        <v>1891</v>
      </c>
      <c r="I60" s="961"/>
      <c r="J60" s="959" t="s">
        <v>1892</v>
      </c>
      <c r="K60" s="960"/>
      <c r="L60" s="960"/>
      <c r="M60" s="961"/>
      <c r="N60" s="959" t="s">
        <v>2274</v>
      </c>
      <c r="O60" s="960"/>
      <c r="P60" s="960"/>
      <c r="Q60" s="961"/>
      <c r="R60" s="513"/>
    </row>
    <row r="61" spans="1:18" ht="11.85" customHeight="1">
      <c r="A61" s="568" t="s">
        <v>2275</v>
      </c>
      <c r="B61" s="972" t="s">
        <v>895</v>
      </c>
      <c r="C61" s="973"/>
      <c r="D61" s="974"/>
      <c r="E61" s="972" t="s">
        <v>895</v>
      </c>
      <c r="F61" s="973"/>
      <c r="G61" s="974"/>
      <c r="H61" s="972" t="s">
        <v>895</v>
      </c>
      <c r="I61" s="974"/>
      <c r="J61" s="972" t="s">
        <v>895</v>
      </c>
      <c r="K61" s="973"/>
      <c r="L61" s="973"/>
      <c r="M61" s="974"/>
      <c r="N61" s="972" t="s">
        <v>895</v>
      </c>
      <c r="O61" s="973"/>
      <c r="P61" s="973"/>
      <c r="Q61" s="974"/>
      <c r="R61" s="569"/>
    </row>
    <row r="62" spans="1:18" ht="11.85" customHeight="1">
      <c r="A62" s="535" t="s">
        <v>2276</v>
      </c>
      <c r="B62" s="851" t="s">
        <v>895</v>
      </c>
      <c r="C62" s="853"/>
      <c r="D62" s="852"/>
      <c r="E62" s="851" t="s">
        <v>895</v>
      </c>
      <c r="F62" s="853"/>
      <c r="G62" s="852"/>
      <c r="H62" s="851" t="s">
        <v>895</v>
      </c>
      <c r="I62" s="852"/>
      <c r="J62" s="851" t="s">
        <v>895</v>
      </c>
      <c r="K62" s="853"/>
      <c r="L62" s="853"/>
      <c r="M62" s="852"/>
      <c r="N62" s="851" t="s">
        <v>895</v>
      </c>
      <c r="O62" s="853"/>
      <c r="P62" s="853"/>
      <c r="Q62" s="852"/>
      <c r="R62" s="569"/>
    </row>
    <row r="63" spans="1:18" ht="11.85" customHeight="1">
      <c r="A63" s="535" t="s">
        <v>2277</v>
      </c>
      <c r="B63" s="851" t="s">
        <v>895</v>
      </c>
      <c r="C63" s="853"/>
      <c r="D63" s="852"/>
      <c r="E63" s="851" t="s">
        <v>895</v>
      </c>
      <c r="F63" s="853"/>
      <c r="G63" s="852"/>
      <c r="H63" s="851" t="s">
        <v>895</v>
      </c>
      <c r="I63" s="852"/>
      <c r="J63" s="851" t="s">
        <v>895</v>
      </c>
      <c r="K63" s="853"/>
      <c r="L63" s="853"/>
      <c r="M63" s="852"/>
      <c r="N63" s="851" t="s">
        <v>895</v>
      </c>
      <c r="O63" s="853"/>
      <c r="P63" s="853"/>
      <c r="Q63" s="852"/>
      <c r="R63" s="569"/>
    </row>
    <row r="64" spans="1:18" ht="11.1" customHeight="1">
      <c r="A64" s="535" t="s">
        <v>2278</v>
      </c>
      <c r="B64" s="851" t="s">
        <v>895</v>
      </c>
      <c r="C64" s="853"/>
      <c r="D64" s="852"/>
      <c r="E64" s="851" t="s">
        <v>895</v>
      </c>
      <c r="F64" s="853"/>
      <c r="G64" s="852"/>
      <c r="H64" s="851" t="s">
        <v>895</v>
      </c>
      <c r="I64" s="852"/>
      <c r="J64" s="851" t="s">
        <v>895</v>
      </c>
      <c r="K64" s="853"/>
      <c r="L64" s="853"/>
      <c r="M64" s="852"/>
      <c r="N64" s="851" t="s">
        <v>895</v>
      </c>
      <c r="O64" s="853"/>
      <c r="P64" s="853"/>
      <c r="Q64" s="852"/>
      <c r="R64" s="569"/>
    </row>
    <row r="65" spans="1:18" ht="11.85" customHeight="1">
      <c r="A65" s="535" t="s">
        <v>2279</v>
      </c>
      <c r="B65" s="851" t="s">
        <v>895</v>
      </c>
      <c r="C65" s="853"/>
      <c r="D65" s="852"/>
      <c r="E65" s="851" t="s">
        <v>895</v>
      </c>
      <c r="F65" s="853"/>
      <c r="G65" s="852"/>
      <c r="H65" s="851" t="s">
        <v>895</v>
      </c>
      <c r="I65" s="852"/>
      <c r="J65" s="851" t="s">
        <v>895</v>
      </c>
      <c r="K65" s="853"/>
      <c r="L65" s="853"/>
      <c r="M65" s="852"/>
      <c r="N65" s="851" t="s">
        <v>895</v>
      </c>
      <c r="O65" s="853"/>
      <c r="P65" s="853"/>
      <c r="Q65" s="852"/>
      <c r="R65" s="569"/>
    </row>
    <row r="66" spans="1:18" ht="11.85" customHeight="1">
      <c r="A66" s="535" t="s">
        <v>2280</v>
      </c>
      <c r="B66" s="851" t="s">
        <v>895</v>
      </c>
      <c r="C66" s="853"/>
      <c r="D66" s="852"/>
      <c r="E66" s="851" t="s">
        <v>895</v>
      </c>
      <c r="F66" s="853"/>
      <c r="G66" s="852"/>
      <c r="H66" s="851" t="s">
        <v>895</v>
      </c>
      <c r="I66" s="852"/>
      <c r="J66" s="851" t="s">
        <v>895</v>
      </c>
      <c r="K66" s="853"/>
      <c r="L66" s="853"/>
      <c r="M66" s="852"/>
      <c r="N66" s="851" t="s">
        <v>895</v>
      </c>
      <c r="O66" s="853"/>
      <c r="P66" s="853"/>
      <c r="Q66" s="852"/>
      <c r="R66" s="569"/>
    </row>
    <row r="67" spans="1:18" ht="11.85" customHeight="1">
      <c r="A67" s="535" t="s">
        <v>2281</v>
      </c>
      <c r="B67" s="851" t="s">
        <v>895</v>
      </c>
      <c r="C67" s="853"/>
      <c r="D67" s="852"/>
      <c r="E67" s="851" t="s">
        <v>895</v>
      </c>
      <c r="F67" s="853"/>
      <c r="G67" s="852"/>
      <c r="H67" s="851" t="s">
        <v>895</v>
      </c>
      <c r="I67" s="852"/>
      <c r="J67" s="851" t="s">
        <v>895</v>
      </c>
      <c r="K67" s="853"/>
      <c r="L67" s="853"/>
      <c r="M67" s="852"/>
      <c r="N67" s="851" t="s">
        <v>895</v>
      </c>
      <c r="O67" s="853"/>
      <c r="P67" s="853"/>
      <c r="Q67" s="852"/>
      <c r="R67" s="569"/>
    </row>
    <row r="68" spans="1:18" ht="11.1" customHeight="1">
      <c r="A68" s="535" t="s">
        <v>2282</v>
      </c>
      <c r="B68" s="851" t="s">
        <v>895</v>
      </c>
      <c r="C68" s="853"/>
      <c r="D68" s="852"/>
      <c r="E68" s="851" t="s">
        <v>895</v>
      </c>
      <c r="F68" s="853"/>
      <c r="G68" s="852"/>
      <c r="H68" s="851" t="s">
        <v>895</v>
      </c>
      <c r="I68" s="852"/>
      <c r="J68" s="851" t="s">
        <v>895</v>
      </c>
      <c r="K68" s="853"/>
      <c r="L68" s="853"/>
      <c r="M68" s="852"/>
      <c r="N68" s="851" t="s">
        <v>895</v>
      </c>
      <c r="O68" s="853"/>
      <c r="P68" s="853"/>
      <c r="Q68" s="852"/>
      <c r="R68" s="569"/>
    </row>
    <row r="69" spans="1:18" ht="11.85" customHeight="1">
      <c r="A69" s="535" t="s">
        <v>2283</v>
      </c>
      <c r="B69" s="851" t="s">
        <v>895</v>
      </c>
      <c r="C69" s="853"/>
      <c r="D69" s="852"/>
      <c r="E69" s="851" t="s">
        <v>895</v>
      </c>
      <c r="F69" s="853"/>
      <c r="G69" s="852"/>
      <c r="H69" s="851" t="s">
        <v>895</v>
      </c>
      <c r="I69" s="852"/>
      <c r="J69" s="851" t="s">
        <v>895</v>
      </c>
      <c r="K69" s="853"/>
      <c r="L69" s="853"/>
      <c r="M69" s="852"/>
      <c r="N69" s="851" t="s">
        <v>895</v>
      </c>
      <c r="O69" s="853"/>
      <c r="P69" s="853"/>
      <c r="Q69" s="852"/>
      <c r="R69" s="569"/>
    </row>
    <row r="70" spans="1:18" ht="11.85" customHeight="1">
      <c r="A70" s="538" t="s">
        <v>2284</v>
      </c>
      <c r="B70" s="857" t="s">
        <v>895</v>
      </c>
      <c r="C70" s="859"/>
      <c r="D70" s="858"/>
      <c r="E70" s="857" t="s">
        <v>895</v>
      </c>
      <c r="F70" s="859"/>
      <c r="G70" s="858"/>
      <c r="H70" s="857" t="s">
        <v>895</v>
      </c>
      <c r="I70" s="858"/>
      <c r="J70" s="857" t="s">
        <v>895</v>
      </c>
      <c r="K70" s="859"/>
      <c r="L70" s="859"/>
      <c r="M70" s="858"/>
      <c r="N70" s="857" t="s">
        <v>895</v>
      </c>
      <c r="O70" s="859"/>
      <c r="P70" s="859"/>
      <c r="Q70" s="858"/>
      <c r="R70" s="569"/>
    </row>
    <row r="71" spans="1:18" ht="11.85" customHeight="1">
      <c r="A71" s="570" t="s">
        <v>2285</v>
      </c>
      <c r="B71" s="975" t="s">
        <v>895</v>
      </c>
      <c r="C71" s="976"/>
      <c r="D71" s="977"/>
      <c r="E71" s="975" t="s">
        <v>895</v>
      </c>
      <c r="F71" s="976"/>
      <c r="G71" s="977"/>
      <c r="H71" s="975" t="s">
        <v>895</v>
      </c>
      <c r="I71" s="977"/>
      <c r="J71" s="975" t="s">
        <v>895</v>
      </c>
      <c r="K71" s="976"/>
      <c r="L71" s="976"/>
      <c r="M71" s="977"/>
      <c r="N71" s="975" t="s">
        <v>895</v>
      </c>
      <c r="O71" s="976"/>
      <c r="P71" s="976"/>
      <c r="Q71" s="977"/>
      <c r="R71" s="569"/>
    </row>
    <row r="72" spans="1:18" ht="11.1" customHeight="1">
      <c r="A72" s="520"/>
      <c r="B72" s="520"/>
      <c r="C72" s="520"/>
      <c r="D72" s="520"/>
      <c r="E72" s="520"/>
      <c r="F72" s="520"/>
      <c r="G72" s="520"/>
      <c r="H72" s="520"/>
      <c r="I72" s="520"/>
      <c r="J72" s="520"/>
      <c r="K72" s="520"/>
      <c r="L72" s="520"/>
      <c r="M72" s="520"/>
      <c r="N72" s="520"/>
      <c r="O72" s="520"/>
      <c r="P72" s="520"/>
      <c r="Q72" s="520"/>
    </row>
    <row r="73" spans="1:18" ht="11.85" customHeight="1">
      <c r="A73" s="875" t="s">
        <v>2286</v>
      </c>
      <c r="B73" s="876"/>
      <c r="C73" s="876"/>
      <c r="D73" s="876"/>
      <c r="E73" s="876"/>
      <c r="F73" s="876"/>
      <c r="G73" s="876"/>
      <c r="H73" s="876"/>
      <c r="I73" s="876"/>
      <c r="J73" s="876"/>
      <c r="K73" s="876"/>
      <c r="L73" s="876"/>
      <c r="M73" s="876"/>
      <c r="N73" s="876"/>
      <c r="O73" s="876"/>
      <c r="P73" s="876"/>
      <c r="Q73" s="877"/>
      <c r="R73" s="513"/>
    </row>
    <row r="74" spans="1:18" ht="34.700000000000003" customHeight="1">
      <c r="A74" s="560" t="s">
        <v>2287</v>
      </c>
      <c r="B74" s="959" t="s">
        <v>1890</v>
      </c>
      <c r="C74" s="960"/>
      <c r="D74" s="961"/>
      <c r="E74" s="959" t="s">
        <v>1891</v>
      </c>
      <c r="F74" s="960"/>
      <c r="G74" s="961"/>
      <c r="H74" s="959" t="s">
        <v>1892</v>
      </c>
      <c r="I74" s="961"/>
      <c r="J74" s="959" t="s">
        <v>2288</v>
      </c>
      <c r="K74" s="960"/>
      <c r="L74" s="960"/>
      <c r="M74" s="961"/>
      <c r="N74" s="959" t="s">
        <v>2289</v>
      </c>
      <c r="O74" s="960"/>
      <c r="P74" s="960"/>
      <c r="Q74" s="961"/>
      <c r="R74" s="513"/>
    </row>
    <row r="75" spans="1:18" ht="11.85" customHeight="1">
      <c r="A75" s="568" t="s">
        <v>2290</v>
      </c>
      <c r="B75" s="972" t="s">
        <v>895</v>
      </c>
      <c r="C75" s="973"/>
      <c r="D75" s="974"/>
      <c r="E75" s="972" t="s">
        <v>895</v>
      </c>
      <c r="F75" s="973"/>
      <c r="G75" s="974"/>
      <c r="H75" s="972" t="s">
        <v>895</v>
      </c>
      <c r="I75" s="974"/>
      <c r="J75" s="972" t="s">
        <v>895</v>
      </c>
      <c r="K75" s="973"/>
      <c r="L75" s="973"/>
      <c r="M75" s="974"/>
      <c r="N75" s="972" t="s">
        <v>895</v>
      </c>
      <c r="O75" s="973"/>
      <c r="P75" s="973"/>
      <c r="Q75" s="974"/>
      <c r="R75" s="569"/>
    </row>
    <row r="76" spans="1:18" ht="11.85" customHeight="1">
      <c r="A76" s="535" t="s">
        <v>2291</v>
      </c>
      <c r="B76" s="851" t="s">
        <v>980</v>
      </c>
      <c r="C76" s="853"/>
      <c r="D76" s="852"/>
      <c r="E76" s="851" t="s">
        <v>980</v>
      </c>
      <c r="F76" s="853"/>
      <c r="G76" s="852"/>
      <c r="H76" s="851" t="s">
        <v>1247</v>
      </c>
      <c r="I76" s="852"/>
      <c r="J76" s="851" t="s">
        <v>895</v>
      </c>
      <c r="K76" s="853"/>
      <c r="L76" s="853"/>
      <c r="M76" s="852"/>
      <c r="N76" s="851" t="s">
        <v>895</v>
      </c>
      <c r="O76" s="853"/>
      <c r="P76" s="853"/>
      <c r="Q76" s="852"/>
      <c r="R76" s="569"/>
    </row>
    <row r="77" spans="1:18" ht="11.85" customHeight="1">
      <c r="A77" s="535" t="s">
        <v>2292</v>
      </c>
      <c r="B77" s="851" t="s">
        <v>895</v>
      </c>
      <c r="C77" s="853"/>
      <c r="D77" s="852"/>
      <c r="E77" s="851" t="s">
        <v>895</v>
      </c>
      <c r="F77" s="853"/>
      <c r="G77" s="852"/>
      <c r="H77" s="851" t="s">
        <v>895</v>
      </c>
      <c r="I77" s="852"/>
      <c r="J77" s="851" t="s">
        <v>895</v>
      </c>
      <c r="K77" s="853"/>
      <c r="L77" s="853"/>
      <c r="M77" s="852"/>
      <c r="N77" s="851" t="s">
        <v>895</v>
      </c>
      <c r="O77" s="853"/>
      <c r="P77" s="853"/>
      <c r="Q77" s="852"/>
      <c r="R77" s="569"/>
    </row>
    <row r="78" spans="1:18" ht="11.1" customHeight="1">
      <c r="A78" s="535" t="s">
        <v>2293</v>
      </c>
      <c r="B78" s="851" t="s">
        <v>895</v>
      </c>
      <c r="C78" s="853"/>
      <c r="D78" s="852"/>
      <c r="E78" s="851" t="s">
        <v>895</v>
      </c>
      <c r="F78" s="853"/>
      <c r="G78" s="852"/>
      <c r="H78" s="851" t="s">
        <v>895</v>
      </c>
      <c r="I78" s="852"/>
      <c r="J78" s="851" t="s">
        <v>895</v>
      </c>
      <c r="K78" s="853"/>
      <c r="L78" s="853"/>
      <c r="M78" s="852"/>
      <c r="N78" s="851" t="s">
        <v>895</v>
      </c>
      <c r="O78" s="853"/>
      <c r="P78" s="853"/>
      <c r="Q78" s="852"/>
      <c r="R78" s="569"/>
    </row>
    <row r="79" spans="1:18" ht="11.85" customHeight="1">
      <c r="A79" s="535" t="s">
        <v>2294</v>
      </c>
      <c r="B79" s="851" t="s">
        <v>895</v>
      </c>
      <c r="C79" s="853"/>
      <c r="D79" s="852"/>
      <c r="E79" s="851" t="s">
        <v>895</v>
      </c>
      <c r="F79" s="853"/>
      <c r="G79" s="852"/>
      <c r="H79" s="851" t="s">
        <v>895</v>
      </c>
      <c r="I79" s="852"/>
      <c r="J79" s="851" t="s">
        <v>895</v>
      </c>
      <c r="K79" s="853"/>
      <c r="L79" s="853"/>
      <c r="M79" s="852"/>
      <c r="N79" s="851" t="s">
        <v>895</v>
      </c>
      <c r="O79" s="853"/>
      <c r="P79" s="853"/>
      <c r="Q79" s="852"/>
      <c r="R79" s="569"/>
    </row>
    <row r="80" spans="1:18" ht="11.85" customHeight="1">
      <c r="A80" s="538" t="s">
        <v>2295</v>
      </c>
      <c r="B80" s="857" t="s">
        <v>895</v>
      </c>
      <c r="C80" s="859"/>
      <c r="D80" s="858"/>
      <c r="E80" s="857" t="s">
        <v>895</v>
      </c>
      <c r="F80" s="859"/>
      <c r="G80" s="858"/>
      <c r="H80" s="857" t="s">
        <v>895</v>
      </c>
      <c r="I80" s="858"/>
      <c r="J80" s="857" t="s">
        <v>895</v>
      </c>
      <c r="K80" s="859"/>
      <c r="L80" s="859"/>
      <c r="M80" s="858"/>
      <c r="N80" s="857" t="s">
        <v>895</v>
      </c>
      <c r="O80" s="859"/>
      <c r="P80" s="859"/>
      <c r="Q80" s="858"/>
      <c r="R80" s="569"/>
    </row>
    <row r="81" spans="1:18" ht="11.85" customHeight="1">
      <c r="A81" s="511"/>
      <c r="B81" s="511"/>
      <c r="C81" s="511"/>
      <c r="D81" s="511"/>
      <c r="E81" s="511"/>
      <c r="F81" s="511"/>
      <c r="G81" s="511"/>
      <c r="H81" s="511"/>
      <c r="I81" s="511"/>
      <c r="J81" s="511"/>
      <c r="K81" s="511"/>
      <c r="L81" s="511"/>
      <c r="M81" s="511"/>
      <c r="N81" s="511"/>
      <c r="O81" s="511"/>
      <c r="P81" s="511"/>
      <c r="Q81" s="511"/>
    </row>
    <row r="82" spans="1:18" ht="11.1" customHeight="1"/>
    <row r="83" spans="1:18" ht="11.85" customHeight="1">
      <c r="A83" s="968" t="s">
        <v>2263</v>
      </c>
      <c r="B83" s="968"/>
      <c r="C83" s="968"/>
      <c r="D83" s="968"/>
      <c r="E83" s="968"/>
      <c r="F83" s="968"/>
      <c r="G83" s="968"/>
      <c r="H83" s="968"/>
      <c r="I83" s="968"/>
      <c r="J83" s="968"/>
      <c r="K83" s="968"/>
      <c r="L83" s="968"/>
      <c r="M83" s="968"/>
      <c r="N83" s="968"/>
      <c r="O83" s="968"/>
      <c r="P83" s="968"/>
      <c r="Q83" s="968"/>
    </row>
    <row r="84" spans="1:18" ht="11.85" customHeight="1">
      <c r="A84" s="861" t="s">
        <v>1405</v>
      </c>
      <c r="B84" s="861"/>
      <c r="C84" s="861"/>
      <c r="Q84" s="559" t="s">
        <v>1933</v>
      </c>
    </row>
    <row r="85" spans="1:18" ht="11.1" customHeight="1">
      <c r="A85" s="861" t="s">
        <v>1836</v>
      </c>
      <c r="B85" s="861"/>
      <c r="C85" s="861"/>
    </row>
    <row r="86" spans="1:18" ht="11.85" customHeight="1">
      <c r="A86" s="863" t="s">
        <v>2212</v>
      </c>
      <c r="B86" s="863"/>
      <c r="C86" s="863"/>
      <c r="D86" s="863"/>
      <c r="E86" s="863"/>
      <c r="F86" s="863"/>
      <c r="G86" s="863"/>
      <c r="H86" s="863"/>
      <c r="I86" s="863"/>
      <c r="J86" s="863"/>
      <c r="K86" s="863"/>
      <c r="L86" s="863"/>
    </row>
    <row r="87" spans="1:18" ht="11.85" customHeight="1">
      <c r="A87" s="861" t="s">
        <v>1838</v>
      </c>
      <c r="B87" s="861"/>
      <c r="C87" s="861"/>
    </row>
    <row r="88" spans="1:18" ht="11.85" customHeight="1">
      <c r="A88" s="861" t="s">
        <v>885</v>
      </c>
      <c r="B88" s="861"/>
      <c r="C88" s="861"/>
    </row>
    <row r="89" spans="1:18" ht="5.85" customHeight="1"/>
    <row r="90" spans="1:18" ht="11.1" customHeight="1">
      <c r="A90" s="958" t="s">
        <v>2213</v>
      </c>
      <c r="B90" s="958"/>
      <c r="C90" s="958"/>
      <c r="D90" s="502"/>
      <c r="E90" s="502"/>
      <c r="F90" s="502"/>
      <c r="G90" s="502"/>
      <c r="H90" s="502"/>
      <c r="I90" s="502"/>
      <c r="J90" s="502"/>
      <c r="K90" s="502"/>
      <c r="L90" s="874" t="s">
        <v>887</v>
      </c>
      <c r="M90" s="874"/>
      <c r="N90" s="874"/>
      <c r="O90" s="874"/>
      <c r="P90" s="874"/>
      <c r="Q90" s="874"/>
    </row>
    <row r="91" spans="1:18" ht="29.65" customHeight="1">
      <c r="A91" s="560" t="s">
        <v>2296</v>
      </c>
      <c r="B91" s="959" t="s">
        <v>2297</v>
      </c>
      <c r="C91" s="960"/>
      <c r="D91" s="960"/>
      <c r="E91" s="961"/>
      <c r="F91" s="959" t="s">
        <v>2298</v>
      </c>
      <c r="G91" s="960"/>
      <c r="H91" s="961"/>
      <c r="I91" s="959" t="s">
        <v>2299</v>
      </c>
      <c r="J91" s="960"/>
      <c r="K91" s="960"/>
      <c r="L91" s="960"/>
      <c r="M91" s="960"/>
      <c r="N91" s="961"/>
      <c r="O91" s="959" t="s">
        <v>2300</v>
      </c>
      <c r="P91" s="960"/>
      <c r="Q91" s="961"/>
      <c r="R91" s="513"/>
    </row>
    <row r="92" spans="1:18" ht="11.1" customHeight="1">
      <c r="A92" s="568" t="s">
        <v>2301</v>
      </c>
      <c r="B92" s="972" t="s">
        <v>2302</v>
      </c>
      <c r="C92" s="973"/>
      <c r="D92" s="973"/>
      <c r="E92" s="974"/>
      <c r="F92" s="972" t="s">
        <v>895</v>
      </c>
      <c r="G92" s="973"/>
      <c r="H92" s="974"/>
      <c r="I92" s="972" t="s">
        <v>895</v>
      </c>
      <c r="J92" s="973"/>
      <c r="K92" s="973"/>
      <c r="L92" s="973"/>
      <c r="M92" s="973"/>
      <c r="N92" s="974"/>
      <c r="O92" s="972" t="s">
        <v>895</v>
      </c>
      <c r="P92" s="973"/>
      <c r="Q92" s="974"/>
      <c r="R92" s="569"/>
    </row>
    <row r="93" spans="1:18" ht="11.85" customHeight="1">
      <c r="A93" s="535" t="s">
        <v>2303</v>
      </c>
      <c r="B93" s="851" t="s">
        <v>895</v>
      </c>
      <c r="C93" s="853"/>
      <c r="D93" s="853"/>
      <c r="E93" s="852"/>
      <c r="F93" s="851" t="s">
        <v>895</v>
      </c>
      <c r="G93" s="853"/>
      <c r="H93" s="852"/>
      <c r="I93" s="851" t="s">
        <v>895</v>
      </c>
      <c r="J93" s="853"/>
      <c r="K93" s="853"/>
      <c r="L93" s="853"/>
      <c r="M93" s="853"/>
      <c r="N93" s="852"/>
      <c r="O93" s="851" t="s">
        <v>895</v>
      </c>
      <c r="P93" s="853"/>
      <c r="Q93" s="852"/>
      <c r="R93" s="569"/>
    </row>
    <row r="94" spans="1:18" ht="11.85" customHeight="1">
      <c r="A94" s="538" t="s">
        <v>2304</v>
      </c>
      <c r="B94" s="857" t="s">
        <v>895</v>
      </c>
      <c r="C94" s="859"/>
      <c r="D94" s="859"/>
      <c r="E94" s="858"/>
      <c r="F94" s="857" t="s">
        <v>895</v>
      </c>
      <c r="G94" s="859"/>
      <c r="H94" s="858"/>
      <c r="I94" s="857" t="s">
        <v>895</v>
      </c>
      <c r="J94" s="859"/>
      <c r="K94" s="859"/>
      <c r="L94" s="859"/>
      <c r="M94" s="859"/>
      <c r="N94" s="858"/>
      <c r="O94" s="857" t="s">
        <v>895</v>
      </c>
      <c r="P94" s="859"/>
      <c r="Q94" s="858"/>
      <c r="R94" s="569"/>
    </row>
    <row r="95" spans="1:18" ht="11.85" customHeight="1">
      <c r="A95" s="520"/>
      <c r="B95" s="520"/>
      <c r="C95" s="520"/>
      <c r="D95" s="520"/>
      <c r="E95" s="520"/>
      <c r="F95" s="520"/>
      <c r="G95" s="520"/>
      <c r="H95" s="520"/>
      <c r="I95" s="520"/>
      <c r="J95" s="520"/>
      <c r="K95" s="520"/>
      <c r="L95" s="520"/>
      <c r="M95" s="520"/>
      <c r="N95" s="520"/>
      <c r="O95" s="520"/>
      <c r="P95" s="520"/>
      <c r="Q95" s="520"/>
    </row>
    <row r="96" spans="1:18" ht="28.9" customHeight="1">
      <c r="A96" s="560" t="s">
        <v>2305</v>
      </c>
      <c r="B96" s="959" t="s">
        <v>2306</v>
      </c>
      <c r="C96" s="960"/>
      <c r="D96" s="960"/>
      <c r="E96" s="961"/>
      <c r="F96" s="959" t="s">
        <v>2307</v>
      </c>
      <c r="G96" s="960"/>
      <c r="H96" s="961"/>
      <c r="I96" s="959" t="s">
        <v>2308</v>
      </c>
      <c r="J96" s="960"/>
      <c r="K96" s="960"/>
      <c r="L96" s="960"/>
      <c r="M96" s="960"/>
      <c r="N96" s="961"/>
      <c r="O96" s="959" t="s">
        <v>2309</v>
      </c>
      <c r="P96" s="960"/>
      <c r="Q96" s="961"/>
      <c r="R96" s="513"/>
    </row>
    <row r="97" spans="1:18" ht="11.85" customHeight="1">
      <c r="A97" s="571" t="s">
        <v>2310</v>
      </c>
      <c r="B97" s="978" t="s">
        <v>2311</v>
      </c>
      <c r="C97" s="979"/>
      <c r="D97" s="979"/>
      <c r="E97" s="980"/>
      <c r="F97" s="978" t="s">
        <v>2312</v>
      </c>
      <c r="G97" s="979"/>
      <c r="H97" s="980"/>
      <c r="I97" s="978" t="s">
        <v>2312</v>
      </c>
      <c r="J97" s="979"/>
      <c r="K97" s="979"/>
      <c r="L97" s="979"/>
      <c r="M97" s="979"/>
      <c r="N97" s="980"/>
      <c r="O97" s="978">
        <v>7.92</v>
      </c>
      <c r="P97" s="979"/>
      <c r="Q97" s="980"/>
      <c r="R97" s="569"/>
    </row>
    <row r="98" spans="1:18" ht="11.85" customHeight="1">
      <c r="A98" s="520"/>
      <c r="B98" s="520"/>
      <c r="C98" s="520"/>
      <c r="D98" s="520"/>
      <c r="E98" s="520"/>
      <c r="F98" s="520"/>
      <c r="G98" s="520"/>
      <c r="H98" s="520"/>
      <c r="I98" s="520"/>
      <c r="J98" s="520"/>
      <c r="K98" s="520"/>
      <c r="L98" s="520"/>
      <c r="M98" s="520"/>
      <c r="N98" s="520"/>
      <c r="O98" s="520"/>
      <c r="P98" s="520"/>
      <c r="Q98" s="520"/>
    </row>
    <row r="99" spans="1:18" ht="46.7" customHeight="1">
      <c r="A99" s="560" t="s">
        <v>2313</v>
      </c>
      <c r="B99" s="567" t="s">
        <v>2314</v>
      </c>
      <c r="C99" s="959" t="s">
        <v>2315</v>
      </c>
      <c r="D99" s="960"/>
      <c r="E99" s="960"/>
      <c r="F99" s="961"/>
      <c r="G99" s="959" t="s">
        <v>2316</v>
      </c>
      <c r="H99" s="961"/>
      <c r="I99" s="959" t="s">
        <v>2317</v>
      </c>
      <c r="J99" s="961"/>
      <c r="K99" s="959" t="s">
        <v>2318</v>
      </c>
      <c r="L99" s="960"/>
      <c r="M99" s="960"/>
      <c r="N99" s="960"/>
      <c r="O99" s="961"/>
      <c r="P99" s="959" t="s">
        <v>2319</v>
      </c>
      <c r="Q99" s="961"/>
      <c r="R99" s="513"/>
    </row>
    <row r="100" spans="1:18" ht="11.1" customHeight="1">
      <c r="A100" s="568" t="s">
        <v>2320</v>
      </c>
      <c r="B100" s="572" t="s">
        <v>895</v>
      </c>
      <c r="C100" s="972" t="s">
        <v>895</v>
      </c>
      <c r="D100" s="973"/>
      <c r="E100" s="973"/>
      <c r="F100" s="974"/>
      <c r="G100" s="972" t="s">
        <v>895</v>
      </c>
      <c r="H100" s="974"/>
      <c r="I100" s="972" t="s">
        <v>895</v>
      </c>
      <c r="J100" s="974"/>
      <c r="K100" s="972" t="s">
        <v>895</v>
      </c>
      <c r="L100" s="973"/>
      <c r="M100" s="973"/>
      <c r="N100" s="973"/>
      <c r="O100" s="974"/>
      <c r="P100" s="972" t="s">
        <v>895</v>
      </c>
      <c r="Q100" s="974"/>
      <c r="R100" s="569"/>
    </row>
    <row r="101" spans="1:18" ht="11.85" customHeight="1">
      <c r="A101" s="535" t="s">
        <v>2321</v>
      </c>
      <c r="B101" s="573" t="s">
        <v>895</v>
      </c>
      <c r="C101" s="851" t="s">
        <v>895</v>
      </c>
      <c r="D101" s="853"/>
      <c r="E101" s="853"/>
      <c r="F101" s="852"/>
      <c r="G101" s="851" t="s">
        <v>895</v>
      </c>
      <c r="H101" s="852"/>
      <c r="I101" s="851" t="s">
        <v>895</v>
      </c>
      <c r="J101" s="852"/>
      <c r="K101" s="851" t="s">
        <v>895</v>
      </c>
      <c r="L101" s="853"/>
      <c r="M101" s="853"/>
      <c r="N101" s="853"/>
      <c r="O101" s="852"/>
      <c r="P101" s="851" t="s">
        <v>895</v>
      </c>
      <c r="Q101" s="852"/>
      <c r="R101" s="569"/>
    </row>
    <row r="102" spans="1:18" ht="11.85" customHeight="1">
      <c r="A102" s="538" t="s">
        <v>2322</v>
      </c>
      <c r="B102" s="574" t="s">
        <v>895</v>
      </c>
      <c r="C102" s="857" t="s">
        <v>895</v>
      </c>
      <c r="D102" s="859"/>
      <c r="E102" s="859"/>
      <c r="F102" s="858"/>
      <c r="G102" s="857" t="s">
        <v>895</v>
      </c>
      <c r="H102" s="858"/>
      <c r="I102" s="857" t="s">
        <v>895</v>
      </c>
      <c r="J102" s="858"/>
      <c r="K102" s="857" t="s">
        <v>895</v>
      </c>
      <c r="L102" s="859"/>
      <c r="M102" s="859"/>
      <c r="N102" s="859"/>
      <c r="O102" s="858"/>
      <c r="P102" s="857" t="s">
        <v>895</v>
      </c>
      <c r="Q102" s="858"/>
      <c r="R102" s="569"/>
    </row>
    <row r="103" spans="1:18" ht="11.85" customHeight="1">
      <c r="A103" s="520"/>
      <c r="B103" s="520"/>
      <c r="C103" s="520"/>
      <c r="D103" s="520"/>
      <c r="E103" s="520"/>
      <c r="F103" s="520"/>
      <c r="G103" s="520"/>
      <c r="H103" s="520"/>
      <c r="I103" s="520"/>
      <c r="J103" s="520"/>
      <c r="K103" s="520"/>
      <c r="L103" s="520"/>
      <c r="M103" s="520"/>
      <c r="N103" s="520"/>
      <c r="O103" s="520"/>
      <c r="P103" s="520"/>
      <c r="Q103" s="520"/>
    </row>
    <row r="104" spans="1:18" ht="11.1" customHeight="1">
      <c r="A104" s="875" t="s">
        <v>2323</v>
      </c>
      <c r="B104" s="876"/>
      <c r="C104" s="876"/>
      <c r="D104" s="876"/>
      <c r="E104" s="876"/>
      <c r="F104" s="876"/>
      <c r="G104" s="876"/>
      <c r="H104" s="876"/>
      <c r="I104" s="876"/>
      <c r="J104" s="876"/>
      <c r="K104" s="876"/>
      <c r="L104" s="876"/>
      <c r="M104" s="876"/>
      <c r="N104" s="876"/>
      <c r="O104" s="876"/>
      <c r="P104" s="876"/>
      <c r="Q104" s="877"/>
      <c r="R104" s="513"/>
    </row>
    <row r="105" spans="1:18" ht="35.450000000000003" customHeight="1">
      <c r="A105" s="567" t="s">
        <v>2324</v>
      </c>
      <c r="B105" s="959" t="s">
        <v>1889</v>
      </c>
      <c r="C105" s="960"/>
      <c r="D105" s="961"/>
      <c r="E105" s="959" t="s">
        <v>1890</v>
      </c>
      <c r="F105" s="960"/>
      <c r="G105" s="961"/>
      <c r="H105" s="959" t="s">
        <v>1891</v>
      </c>
      <c r="I105" s="961"/>
      <c r="J105" s="959" t="s">
        <v>1892</v>
      </c>
      <c r="K105" s="960"/>
      <c r="L105" s="960"/>
      <c r="M105" s="961"/>
      <c r="N105" s="959" t="s">
        <v>2274</v>
      </c>
      <c r="O105" s="960"/>
      <c r="P105" s="960"/>
      <c r="Q105" s="961"/>
      <c r="R105" s="513"/>
    </row>
    <row r="106" spans="1:18" ht="11.1" customHeight="1">
      <c r="A106" s="568" t="s">
        <v>2325</v>
      </c>
      <c r="B106" s="972" t="s">
        <v>2326</v>
      </c>
      <c r="C106" s="973"/>
      <c r="D106" s="974"/>
      <c r="E106" s="972" t="s">
        <v>2327</v>
      </c>
      <c r="F106" s="973"/>
      <c r="G106" s="974"/>
      <c r="H106" s="972" t="s">
        <v>2328</v>
      </c>
      <c r="I106" s="974"/>
      <c r="J106" s="972" t="s">
        <v>2329</v>
      </c>
      <c r="K106" s="973"/>
      <c r="L106" s="973"/>
      <c r="M106" s="974"/>
      <c r="N106" s="972" t="s">
        <v>895</v>
      </c>
      <c r="O106" s="973"/>
      <c r="P106" s="973"/>
      <c r="Q106" s="974"/>
      <c r="R106" s="569"/>
    </row>
    <row r="107" spans="1:18" ht="11.85" customHeight="1">
      <c r="A107" s="535" t="s">
        <v>2330</v>
      </c>
      <c r="B107" s="851" t="s">
        <v>2331</v>
      </c>
      <c r="C107" s="853"/>
      <c r="D107" s="852"/>
      <c r="E107" s="851" t="s">
        <v>2332</v>
      </c>
      <c r="F107" s="853"/>
      <c r="G107" s="852"/>
      <c r="H107" s="851" t="s">
        <v>2333</v>
      </c>
      <c r="I107" s="852"/>
      <c r="J107" s="851" t="s">
        <v>2334</v>
      </c>
      <c r="K107" s="853"/>
      <c r="L107" s="853"/>
      <c r="M107" s="852"/>
      <c r="N107" s="851" t="s">
        <v>895</v>
      </c>
      <c r="O107" s="853"/>
      <c r="P107" s="853"/>
      <c r="Q107" s="852"/>
      <c r="R107" s="569"/>
    </row>
    <row r="108" spans="1:18" ht="11.85" customHeight="1">
      <c r="A108" s="535" t="s">
        <v>2335</v>
      </c>
      <c r="B108" s="851" t="s">
        <v>2336</v>
      </c>
      <c r="C108" s="853"/>
      <c r="D108" s="852"/>
      <c r="E108" s="851" t="s">
        <v>2337</v>
      </c>
      <c r="F108" s="853"/>
      <c r="G108" s="852"/>
      <c r="H108" s="851" t="s">
        <v>2337</v>
      </c>
      <c r="I108" s="852"/>
      <c r="J108" s="851" t="s">
        <v>2338</v>
      </c>
      <c r="K108" s="853"/>
      <c r="L108" s="853"/>
      <c r="M108" s="852"/>
      <c r="N108" s="851" t="s">
        <v>895</v>
      </c>
      <c r="O108" s="853"/>
      <c r="P108" s="853"/>
      <c r="Q108" s="852"/>
      <c r="R108" s="569"/>
    </row>
    <row r="109" spans="1:18" ht="11.85" customHeight="1">
      <c r="A109" s="538" t="s">
        <v>2339</v>
      </c>
      <c r="B109" s="857" t="s">
        <v>2340</v>
      </c>
      <c r="C109" s="859"/>
      <c r="D109" s="858"/>
      <c r="E109" s="857" t="s">
        <v>2341</v>
      </c>
      <c r="F109" s="859"/>
      <c r="G109" s="858"/>
      <c r="H109" s="857" t="s">
        <v>2342</v>
      </c>
      <c r="I109" s="858"/>
      <c r="J109" s="857" t="s">
        <v>2343</v>
      </c>
      <c r="K109" s="859"/>
      <c r="L109" s="859"/>
      <c r="M109" s="858"/>
      <c r="N109" s="857" t="s">
        <v>895</v>
      </c>
      <c r="O109" s="859"/>
      <c r="P109" s="859"/>
      <c r="Q109" s="858"/>
      <c r="R109" s="569"/>
    </row>
    <row r="110" spans="1:18" ht="11.1" customHeight="1">
      <c r="A110" s="570" t="s">
        <v>2344</v>
      </c>
      <c r="B110" s="975" t="s">
        <v>2345</v>
      </c>
      <c r="C110" s="976"/>
      <c r="D110" s="977"/>
      <c r="E110" s="975" t="s">
        <v>975</v>
      </c>
      <c r="F110" s="976"/>
      <c r="G110" s="977"/>
      <c r="H110" s="975" t="s">
        <v>1181</v>
      </c>
      <c r="I110" s="977"/>
      <c r="J110" s="975" t="s">
        <v>1243</v>
      </c>
      <c r="K110" s="976"/>
      <c r="L110" s="976"/>
      <c r="M110" s="977"/>
      <c r="N110" s="975" t="s">
        <v>895</v>
      </c>
      <c r="O110" s="976"/>
      <c r="P110" s="976"/>
      <c r="Q110" s="977"/>
      <c r="R110" s="569"/>
    </row>
    <row r="111" spans="1:18" ht="17.850000000000001" customHeight="1">
      <c r="A111" s="875" t="s">
        <v>2346</v>
      </c>
      <c r="B111" s="876"/>
      <c r="C111" s="876"/>
      <c r="D111" s="876"/>
      <c r="E111" s="876"/>
      <c r="F111" s="876"/>
      <c r="G111" s="876"/>
      <c r="H111" s="876"/>
      <c r="I111" s="876"/>
      <c r="J111" s="876"/>
      <c r="K111" s="876"/>
      <c r="L111" s="876"/>
      <c r="M111" s="877"/>
      <c r="N111" s="875" t="s">
        <v>1917</v>
      </c>
      <c r="O111" s="876"/>
      <c r="P111" s="876"/>
      <c r="Q111" s="877"/>
      <c r="R111" s="513"/>
    </row>
    <row r="112" spans="1:18" ht="11.85" customHeight="1">
      <c r="A112" s="864" t="s">
        <v>2347</v>
      </c>
      <c r="B112" s="981"/>
      <c r="C112" s="981"/>
      <c r="D112" s="981"/>
      <c r="E112" s="981"/>
      <c r="F112" s="981"/>
      <c r="G112" s="981"/>
      <c r="H112" s="981"/>
      <c r="I112" s="981"/>
      <c r="J112" s="981"/>
      <c r="K112" s="981"/>
      <c r="L112" s="981"/>
      <c r="M112" s="865"/>
      <c r="N112" s="972" t="s">
        <v>2348</v>
      </c>
      <c r="O112" s="973"/>
      <c r="P112" s="973"/>
      <c r="Q112" s="974"/>
      <c r="R112" s="569"/>
    </row>
    <row r="113" spans="1:18" ht="11.1" customHeight="1">
      <c r="A113" s="869" t="s">
        <v>2349</v>
      </c>
      <c r="B113" s="968"/>
      <c r="C113" s="968"/>
      <c r="D113" s="968"/>
      <c r="E113" s="968"/>
      <c r="F113" s="968"/>
      <c r="G113" s="968"/>
      <c r="H113" s="968"/>
      <c r="I113" s="968"/>
      <c r="J113" s="968"/>
      <c r="K113" s="968"/>
      <c r="L113" s="968"/>
      <c r="M113" s="870"/>
      <c r="N113" s="851" t="s">
        <v>2267</v>
      </c>
      <c r="O113" s="853"/>
      <c r="P113" s="853"/>
      <c r="Q113" s="852"/>
      <c r="R113" s="569"/>
    </row>
    <row r="114" spans="1:18" ht="11.85" customHeight="1">
      <c r="A114" s="869" t="s">
        <v>2350</v>
      </c>
      <c r="B114" s="968"/>
      <c r="C114" s="968"/>
      <c r="D114" s="968"/>
      <c r="E114" s="968"/>
      <c r="F114" s="968"/>
      <c r="G114" s="968"/>
      <c r="H114" s="968"/>
      <c r="I114" s="968"/>
      <c r="J114" s="968"/>
      <c r="K114" s="968"/>
      <c r="L114" s="968"/>
      <c r="M114" s="870"/>
      <c r="N114" s="851" t="s">
        <v>895</v>
      </c>
      <c r="O114" s="853"/>
      <c r="P114" s="853"/>
      <c r="Q114" s="852"/>
      <c r="R114" s="569"/>
    </row>
    <row r="115" spans="1:18" ht="11.85" customHeight="1">
      <c r="A115" s="869" t="s">
        <v>2351</v>
      </c>
      <c r="B115" s="968"/>
      <c r="C115" s="968"/>
      <c r="D115" s="968"/>
      <c r="E115" s="968"/>
      <c r="F115" s="968"/>
      <c r="G115" s="968"/>
      <c r="H115" s="968"/>
      <c r="I115" s="968"/>
      <c r="J115" s="968"/>
      <c r="K115" s="968"/>
      <c r="L115" s="968"/>
      <c r="M115" s="870"/>
      <c r="N115" s="851" t="s">
        <v>895</v>
      </c>
      <c r="O115" s="853"/>
      <c r="P115" s="853"/>
      <c r="Q115" s="852"/>
      <c r="R115" s="569"/>
    </row>
    <row r="116" spans="1:18" ht="11.85" customHeight="1">
      <c r="A116" s="895" t="s">
        <v>2352</v>
      </c>
      <c r="B116" s="982"/>
      <c r="C116" s="982"/>
      <c r="D116" s="982"/>
      <c r="E116" s="982"/>
      <c r="F116" s="982"/>
      <c r="G116" s="982"/>
      <c r="H116" s="982"/>
      <c r="I116" s="982"/>
      <c r="J116" s="982"/>
      <c r="K116" s="982"/>
      <c r="L116" s="982"/>
      <c r="M116" s="896"/>
      <c r="N116" s="857" t="s">
        <v>2353</v>
      </c>
      <c r="O116" s="859"/>
      <c r="P116" s="859"/>
      <c r="Q116" s="858"/>
      <c r="R116" s="569"/>
    </row>
    <row r="117" spans="1:18" ht="11.1" customHeight="1">
      <c r="A117" s="983" t="s">
        <v>2354</v>
      </c>
      <c r="B117" s="984"/>
      <c r="C117" s="984"/>
      <c r="D117" s="984"/>
      <c r="E117" s="984"/>
      <c r="F117" s="984"/>
      <c r="G117" s="984"/>
      <c r="H117" s="984"/>
      <c r="I117" s="984"/>
      <c r="J117" s="984"/>
      <c r="K117" s="984"/>
      <c r="L117" s="984"/>
      <c r="M117" s="985"/>
      <c r="N117" s="975" t="s">
        <v>2355</v>
      </c>
      <c r="O117" s="976"/>
      <c r="P117" s="976"/>
      <c r="Q117" s="977"/>
      <c r="R117" s="569"/>
    </row>
    <row r="118" spans="1:18" ht="11.85" customHeight="1">
      <c r="A118" s="520"/>
      <c r="B118" s="520"/>
      <c r="C118" s="520"/>
      <c r="D118" s="520"/>
      <c r="E118" s="520"/>
      <c r="F118" s="520"/>
      <c r="G118" s="520"/>
      <c r="H118" s="520"/>
      <c r="I118" s="520"/>
      <c r="J118" s="520"/>
      <c r="K118" s="520"/>
      <c r="L118" s="520"/>
      <c r="M118" s="520"/>
      <c r="N118" s="520"/>
      <c r="O118" s="520"/>
      <c r="P118" s="520"/>
      <c r="Q118" s="520"/>
    </row>
    <row r="119" spans="1:18" ht="17.850000000000001" customHeight="1">
      <c r="A119" s="560" t="s">
        <v>2356</v>
      </c>
      <c r="B119" s="959" t="s">
        <v>2357</v>
      </c>
      <c r="C119" s="960"/>
      <c r="D119" s="960"/>
      <c r="E119" s="960"/>
      <c r="F119" s="960"/>
      <c r="G119" s="961"/>
      <c r="H119" s="959" t="s">
        <v>2358</v>
      </c>
      <c r="I119" s="960"/>
      <c r="J119" s="960"/>
      <c r="K119" s="960"/>
      <c r="L119" s="960"/>
      <c r="M119" s="961"/>
      <c r="N119" s="959" t="s">
        <v>2359</v>
      </c>
      <c r="O119" s="960"/>
      <c r="P119" s="960"/>
      <c r="Q119" s="961"/>
      <c r="R119" s="513"/>
    </row>
    <row r="120" spans="1:18" ht="11.85" customHeight="1">
      <c r="A120" s="571" t="s">
        <v>2360</v>
      </c>
      <c r="B120" s="978" t="s">
        <v>2361</v>
      </c>
      <c r="C120" s="979"/>
      <c r="D120" s="979"/>
      <c r="E120" s="979"/>
      <c r="F120" s="979"/>
      <c r="G120" s="980"/>
      <c r="H120" s="978" t="s">
        <v>2355</v>
      </c>
      <c r="I120" s="979"/>
      <c r="J120" s="979"/>
      <c r="K120" s="979"/>
      <c r="L120" s="979"/>
      <c r="M120" s="980"/>
      <c r="N120" s="978">
        <v>21.26</v>
      </c>
      <c r="O120" s="979"/>
      <c r="P120" s="979"/>
      <c r="Q120" s="980"/>
      <c r="R120" s="569"/>
    </row>
    <row r="121" spans="1:18" ht="11.1" customHeight="1">
      <c r="A121" s="511"/>
      <c r="B121" s="511"/>
      <c r="C121" s="511"/>
      <c r="D121" s="511"/>
      <c r="E121" s="511"/>
      <c r="F121" s="511"/>
      <c r="G121" s="511"/>
      <c r="H121" s="511"/>
      <c r="I121" s="511"/>
      <c r="J121" s="511"/>
      <c r="K121" s="511"/>
      <c r="L121" s="511"/>
      <c r="M121" s="511"/>
      <c r="N121" s="511"/>
      <c r="O121" s="511"/>
      <c r="P121" s="511"/>
      <c r="Q121" s="511"/>
    </row>
    <row r="122" spans="1:18" ht="11.85" customHeight="1">
      <c r="A122" s="968" t="s">
        <v>2263</v>
      </c>
      <c r="B122" s="968"/>
      <c r="C122" s="968"/>
      <c r="D122" s="968"/>
      <c r="E122" s="968"/>
      <c r="F122" s="968"/>
      <c r="G122" s="968"/>
      <c r="H122" s="968"/>
      <c r="I122" s="968"/>
      <c r="J122" s="968"/>
      <c r="K122" s="968"/>
      <c r="L122" s="968"/>
      <c r="M122" s="968"/>
      <c r="N122" s="968"/>
      <c r="O122" s="968"/>
      <c r="P122" s="968"/>
      <c r="Q122" s="968"/>
    </row>
    <row r="123" spans="1:18" ht="11.85" customHeight="1">
      <c r="A123" s="861" t="s">
        <v>1405</v>
      </c>
      <c r="B123" s="861"/>
      <c r="C123" s="861"/>
      <c r="Q123" s="559" t="s">
        <v>1944</v>
      </c>
    </row>
    <row r="124" spans="1:18" ht="11.1" customHeight="1">
      <c r="A124" s="861" t="s">
        <v>1836</v>
      </c>
      <c r="B124" s="861"/>
      <c r="C124" s="861"/>
    </row>
    <row r="125" spans="1:18" ht="11.85" customHeight="1">
      <c r="A125" s="863" t="s">
        <v>2212</v>
      </c>
      <c r="B125" s="863"/>
      <c r="C125" s="863"/>
      <c r="D125" s="863"/>
      <c r="E125" s="863"/>
      <c r="F125" s="863"/>
      <c r="G125" s="863"/>
      <c r="H125" s="863"/>
      <c r="I125" s="863"/>
      <c r="J125" s="863"/>
      <c r="K125" s="863"/>
      <c r="L125" s="863"/>
    </row>
    <row r="126" spans="1:18" ht="11.85" customHeight="1">
      <c r="A126" s="861" t="s">
        <v>1838</v>
      </c>
      <c r="B126" s="861"/>
      <c r="C126" s="861"/>
    </row>
    <row r="127" spans="1:18" ht="11.85" customHeight="1">
      <c r="A127" s="861" t="s">
        <v>885</v>
      </c>
      <c r="B127" s="861"/>
      <c r="C127" s="861"/>
    </row>
    <row r="128" spans="1:18" ht="5.85" customHeight="1"/>
    <row r="129" spans="1:18" ht="11.1" customHeight="1">
      <c r="A129" s="958" t="s">
        <v>2213</v>
      </c>
      <c r="B129" s="958"/>
      <c r="C129" s="958"/>
      <c r="D129" s="502"/>
      <c r="E129" s="502"/>
      <c r="F129" s="502"/>
      <c r="G129" s="502"/>
      <c r="H129" s="502"/>
      <c r="I129" s="502"/>
      <c r="J129" s="502"/>
      <c r="K129" s="502"/>
      <c r="L129" s="874" t="s">
        <v>887</v>
      </c>
      <c r="M129" s="874"/>
      <c r="N129" s="874"/>
      <c r="O129" s="874"/>
      <c r="P129" s="874"/>
      <c r="Q129" s="874"/>
    </row>
    <row r="130" spans="1:18" ht="29.65" customHeight="1">
      <c r="A130" s="567" t="s">
        <v>2362</v>
      </c>
      <c r="B130" s="959" t="s">
        <v>2363</v>
      </c>
      <c r="C130" s="960"/>
      <c r="D130" s="961"/>
      <c r="E130" s="959" t="s">
        <v>2364</v>
      </c>
      <c r="F130" s="960"/>
      <c r="G130" s="961"/>
      <c r="H130" s="959" t="s">
        <v>2365</v>
      </c>
      <c r="I130" s="961"/>
      <c r="J130" s="959" t="s">
        <v>2366</v>
      </c>
      <c r="K130" s="960"/>
      <c r="L130" s="960"/>
      <c r="M130" s="961"/>
      <c r="N130" s="959" t="s">
        <v>2367</v>
      </c>
      <c r="O130" s="960"/>
      <c r="P130" s="960"/>
      <c r="Q130" s="961"/>
      <c r="R130" s="513"/>
    </row>
    <row r="131" spans="1:18" ht="11.1" customHeight="1">
      <c r="A131" s="568" t="s">
        <v>2368</v>
      </c>
      <c r="B131" s="972" t="s">
        <v>2369</v>
      </c>
      <c r="C131" s="973"/>
      <c r="D131" s="974"/>
      <c r="E131" s="972" t="s">
        <v>2370</v>
      </c>
      <c r="F131" s="973"/>
      <c r="G131" s="974"/>
      <c r="H131" s="972" t="s">
        <v>2371</v>
      </c>
      <c r="I131" s="974"/>
      <c r="J131" s="972" t="s">
        <v>2353</v>
      </c>
      <c r="K131" s="973"/>
      <c r="L131" s="973"/>
      <c r="M131" s="974"/>
      <c r="N131" s="972" t="s">
        <v>2372</v>
      </c>
      <c r="O131" s="973"/>
      <c r="P131" s="973"/>
      <c r="Q131" s="974"/>
      <c r="R131" s="569"/>
    </row>
    <row r="132" spans="1:18" ht="11.85" customHeight="1">
      <c r="A132" s="535" t="s">
        <v>2373</v>
      </c>
      <c r="B132" s="851" t="s">
        <v>2374</v>
      </c>
      <c r="C132" s="853"/>
      <c r="D132" s="852"/>
      <c r="E132" s="851" t="s">
        <v>2375</v>
      </c>
      <c r="F132" s="853"/>
      <c r="G132" s="852"/>
      <c r="H132" s="851" t="s">
        <v>2376</v>
      </c>
      <c r="I132" s="852"/>
      <c r="J132" s="851" t="s">
        <v>2353</v>
      </c>
      <c r="K132" s="853"/>
      <c r="L132" s="853"/>
      <c r="M132" s="852"/>
      <c r="N132" s="851" t="s">
        <v>2377</v>
      </c>
      <c r="O132" s="853"/>
      <c r="P132" s="853"/>
      <c r="Q132" s="852"/>
      <c r="R132" s="569"/>
    </row>
    <row r="133" spans="1:18" ht="11.85" customHeight="1">
      <c r="A133" s="535" t="s">
        <v>2378</v>
      </c>
      <c r="B133" s="851" t="s">
        <v>2379</v>
      </c>
      <c r="C133" s="853"/>
      <c r="D133" s="852"/>
      <c r="E133" s="851" t="s">
        <v>2380</v>
      </c>
      <c r="F133" s="853"/>
      <c r="G133" s="852"/>
      <c r="H133" s="851" t="s">
        <v>705</v>
      </c>
      <c r="I133" s="852"/>
      <c r="J133" s="851" t="s">
        <v>895</v>
      </c>
      <c r="K133" s="853"/>
      <c r="L133" s="853"/>
      <c r="M133" s="852"/>
      <c r="N133" s="851" t="s">
        <v>2381</v>
      </c>
      <c r="O133" s="853"/>
      <c r="P133" s="853"/>
      <c r="Q133" s="852"/>
      <c r="R133" s="569"/>
    </row>
    <row r="134" spans="1:18" ht="11.85" customHeight="1">
      <c r="A134" s="538" t="s">
        <v>2382</v>
      </c>
      <c r="B134" s="857" t="s">
        <v>895</v>
      </c>
      <c r="C134" s="859"/>
      <c r="D134" s="858"/>
      <c r="E134" s="857" t="s">
        <v>895</v>
      </c>
      <c r="F134" s="859"/>
      <c r="G134" s="858"/>
      <c r="H134" s="857" t="s">
        <v>895</v>
      </c>
      <c r="I134" s="858"/>
      <c r="J134" s="857" t="s">
        <v>895</v>
      </c>
      <c r="K134" s="859"/>
      <c r="L134" s="859"/>
      <c r="M134" s="858"/>
      <c r="N134" s="857" t="s">
        <v>895</v>
      </c>
      <c r="O134" s="859"/>
      <c r="P134" s="859"/>
      <c r="Q134" s="858"/>
      <c r="R134" s="569"/>
    </row>
    <row r="135" spans="1:18" ht="11.1" customHeight="1">
      <c r="A135" s="520"/>
      <c r="B135" s="520"/>
      <c r="C135" s="520"/>
      <c r="D135" s="520"/>
      <c r="E135" s="520"/>
      <c r="F135" s="520"/>
      <c r="G135" s="520"/>
      <c r="H135" s="520"/>
      <c r="I135" s="520"/>
      <c r="J135" s="520"/>
      <c r="K135" s="520"/>
      <c r="L135" s="520"/>
      <c r="M135" s="520"/>
      <c r="N135" s="520"/>
      <c r="O135" s="520"/>
      <c r="P135" s="520"/>
      <c r="Q135" s="520"/>
    </row>
    <row r="136" spans="1:18" ht="11.85" customHeight="1">
      <c r="A136" s="875" t="s">
        <v>2383</v>
      </c>
      <c r="B136" s="876"/>
      <c r="C136" s="876"/>
      <c r="D136" s="876"/>
      <c r="E136" s="876"/>
      <c r="F136" s="876"/>
      <c r="G136" s="876"/>
      <c r="H136" s="876"/>
      <c r="I136" s="876"/>
      <c r="J136" s="876"/>
      <c r="K136" s="876"/>
      <c r="L136" s="876"/>
      <c r="M136" s="876"/>
      <c r="N136" s="876"/>
      <c r="O136" s="876"/>
      <c r="P136" s="876"/>
      <c r="Q136" s="877"/>
      <c r="R136" s="513"/>
    </row>
    <row r="137" spans="1:18" ht="29.65" customHeight="1">
      <c r="A137" s="560" t="s">
        <v>2384</v>
      </c>
      <c r="B137" s="959" t="s">
        <v>1843</v>
      </c>
      <c r="C137" s="960"/>
      <c r="D137" s="960"/>
      <c r="E137" s="960"/>
      <c r="F137" s="960"/>
      <c r="G137" s="961"/>
      <c r="H137" s="959" t="s">
        <v>1844</v>
      </c>
      <c r="I137" s="960"/>
      <c r="J137" s="960"/>
      <c r="K137" s="960"/>
      <c r="L137" s="960"/>
      <c r="M137" s="960"/>
      <c r="N137" s="960"/>
      <c r="O137" s="960"/>
      <c r="P137" s="960"/>
      <c r="Q137" s="961"/>
      <c r="R137" s="513"/>
    </row>
    <row r="138" spans="1:18" ht="14.1" customHeight="1">
      <c r="A138" s="561" t="s">
        <v>2385</v>
      </c>
      <c r="B138" s="866" t="s">
        <v>2386</v>
      </c>
      <c r="C138" s="867"/>
      <c r="D138" s="867"/>
      <c r="E138" s="867"/>
      <c r="F138" s="867"/>
      <c r="G138" s="868"/>
      <c r="H138" s="866" t="s">
        <v>2387</v>
      </c>
      <c r="I138" s="867"/>
      <c r="J138" s="867"/>
      <c r="K138" s="867"/>
      <c r="L138" s="867"/>
      <c r="M138" s="867"/>
      <c r="N138" s="867"/>
      <c r="O138" s="867"/>
      <c r="P138" s="867"/>
      <c r="Q138" s="868"/>
      <c r="R138" s="513"/>
    </row>
    <row r="139" spans="1:18" ht="14.85" customHeight="1">
      <c r="A139" s="562" t="s">
        <v>2388</v>
      </c>
      <c r="B139" s="871" t="s">
        <v>2389</v>
      </c>
      <c r="C139" s="872"/>
      <c r="D139" s="872"/>
      <c r="E139" s="872"/>
      <c r="F139" s="872"/>
      <c r="G139" s="873"/>
      <c r="H139" s="871" t="s">
        <v>996</v>
      </c>
      <c r="I139" s="872"/>
      <c r="J139" s="872"/>
      <c r="K139" s="872"/>
      <c r="L139" s="872"/>
      <c r="M139" s="872"/>
      <c r="N139" s="872"/>
      <c r="O139" s="872"/>
      <c r="P139" s="872"/>
      <c r="Q139" s="873"/>
      <c r="R139" s="513"/>
    </row>
    <row r="140" spans="1:18" ht="14.85" customHeight="1">
      <c r="A140" s="562" t="s">
        <v>2390</v>
      </c>
      <c r="B140" s="871" t="s">
        <v>895</v>
      </c>
      <c r="C140" s="872"/>
      <c r="D140" s="872"/>
      <c r="E140" s="872"/>
      <c r="F140" s="872"/>
      <c r="G140" s="873"/>
      <c r="H140" s="871" t="s">
        <v>895</v>
      </c>
      <c r="I140" s="872"/>
      <c r="J140" s="872"/>
      <c r="K140" s="872"/>
      <c r="L140" s="872"/>
      <c r="M140" s="872"/>
      <c r="N140" s="872"/>
      <c r="O140" s="872"/>
      <c r="P140" s="872"/>
      <c r="Q140" s="873"/>
      <c r="R140" s="513"/>
    </row>
    <row r="141" spans="1:18" ht="14.1" customHeight="1">
      <c r="A141" s="562" t="s">
        <v>2391</v>
      </c>
      <c r="B141" s="871" t="s">
        <v>2392</v>
      </c>
      <c r="C141" s="872"/>
      <c r="D141" s="872"/>
      <c r="E141" s="872"/>
      <c r="F141" s="872"/>
      <c r="G141" s="873"/>
      <c r="H141" s="871" t="s">
        <v>993</v>
      </c>
      <c r="I141" s="872"/>
      <c r="J141" s="872"/>
      <c r="K141" s="872"/>
      <c r="L141" s="872"/>
      <c r="M141" s="872"/>
      <c r="N141" s="872"/>
      <c r="O141" s="872"/>
      <c r="P141" s="872"/>
      <c r="Q141" s="873"/>
      <c r="R141" s="513"/>
    </row>
    <row r="142" spans="1:18" ht="14.85" customHeight="1">
      <c r="A142" s="562" t="s">
        <v>2393</v>
      </c>
      <c r="B142" s="871" t="s">
        <v>2394</v>
      </c>
      <c r="C142" s="872"/>
      <c r="D142" s="872"/>
      <c r="E142" s="872"/>
      <c r="F142" s="872"/>
      <c r="G142" s="873"/>
      <c r="H142" s="871" t="s">
        <v>1001</v>
      </c>
      <c r="I142" s="872"/>
      <c r="J142" s="872"/>
      <c r="K142" s="872"/>
      <c r="L142" s="872"/>
      <c r="M142" s="872"/>
      <c r="N142" s="872"/>
      <c r="O142" s="872"/>
      <c r="P142" s="872"/>
      <c r="Q142" s="873"/>
      <c r="R142" s="513"/>
    </row>
    <row r="143" spans="1:18" ht="14.85" customHeight="1">
      <c r="A143" s="562" t="s">
        <v>2395</v>
      </c>
      <c r="B143" s="871" t="s">
        <v>2396</v>
      </c>
      <c r="C143" s="872"/>
      <c r="D143" s="872"/>
      <c r="E143" s="872"/>
      <c r="F143" s="872"/>
      <c r="G143" s="873"/>
      <c r="H143" s="871" t="s">
        <v>1005</v>
      </c>
      <c r="I143" s="872"/>
      <c r="J143" s="872"/>
      <c r="K143" s="872"/>
      <c r="L143" s="872"/>
      <c r="M143" s="872"/>
      <c r="N143" s="872"/>
      <c r="O143" s="872"/>
      <c r="P143" s="872"/>
      <c r="Q143" s="873"/>
      <c r="R143" s="513"/>
    </row>
    <row r="144" spans="1:18" ht="14.1" customHeight="1">
      <c r="A144" s="562" t="s">
        <v>2397</v>
      </c>
      <c r="B144" s="871" t="s">
        <v>2398</v>
      </c>
      <c r="C144" s="872"/>
      <c r="D144" s="872"/>
      <c r="E144" s="872"/>
      <c r="F144" s="872"/>
      <c r="G144" s="873"/>
      <c r="H144" s="871" t="s">
        <v>1007</v>
      </c>
      <c r="I144" s="872"/>
      <c r="J144" s="872"/>
      <c r="K144" s="872"/>
      <c r="L144" s="872"/>
      <c r="M144" s="872"/>
      <c r="N144" s="872"/>
      <c r="O144" s="872"/>
      <c r="P144" s="872"/>
      <c r="Q144" s="873"/>
      <c r="R144" s="513"/>
    </row>
    <row r="145" spans="1:18" ht="14.85" customHeight="1">
      <c r="A145" s="562" t="s">
        <v>2399</v>
      </c>
      <c r="B145" s="871" t="s">
        <v>895</v>
      </c>
      <c r="C145" s="872"/>
      <c r="D145" s="872"/>
      <c r="E145" s="872"/>
      <c r="F145" s="872"/>
      <c r="G145" s="873"/>
      <c r="H145" s="871" t="s">
        <v>895</v>
      </c>
      <c r="I145" s="872"/>
      <c r="J145" s="872"/>
      <c r="K145" s="872"/>
      <c r="L145" s="872"/>
      <c r="M145" s="872"/>
      <c r="N145" s="872"/>
      <c r="O145" s="872"/>
      <c r="P145" s="872"/>
      <c r="Q145" s="873"/>
      <c r="R145" s="513"/>
    </row>
    <row r="146" spans="1:18" ht="14.85" customHeight="1">
      <c r="A146" s="562" t="s">
        <v>2400</v>
      </c>
      <c r="B146" s="871" t="s">
        <v>895</v>
      </c>
      <c r="C146" s="872"/>
      <c r="D146" s="872"/>
      <c r="E146" s="872"/>
      <c r="F146" s="872"/>
      <c r="G146" s="873"/>
      <c r="H146" s="871" t="s">
        <v>895</v>
      </c>
      <c r="I146" s="872"/>
      <c r="J146" s="872"/>
      <c r="K146" s="872"/>
      <c r="L146" s="872"/>
      <c r="M146" s="872"/>
      <c r="N146" s="872"/>
      <c r="O146" s="872"/>
      <c r="P146" s="872"/>
      <c r="Q146" s="873"/>
      <c r="R146" s="513"/>
    </row>
    <row r="147" spans="1:18" ht="14.1" customHeight="1">
      <c r="A147" s="565" t="s">
        <v>2401</v>
      </c>
      <c r="B147" s="897" t="s">
        <v>806</v>
      </c>
      <c r="C147" s="898"/>
      <c r="D147" s="898"/>
      <c r="E147" s="898"/>
      <c r="F147" s="898"/>
      <c r="G147" s="899"/>
      <c r="H147" s="897" t="s">
        <v>1012</v>
      </c>
      <c r="I147" s="898"/>
      <c r="J147" s="898"/>
      <c r="K147" s="898"/>
      <c r="L147" s="898"/>
      <c r="M147" s="898"/>
      <c r="N147" s="898"/>
      <c r="O147" s="898"/>
      <c r="P147" s="898"/>
      <c r="Q147" s="899"/>
      <c r="R147" s="513"/>
    </row>
    <row r="148" spans="1:18" ht="14.85" customHeight="1">
      <c r="A148" s="566" t="s">
        <v>2402</v>
      </c>
      <c r="B148" s="969" t="s">
        <v>2403</v>
      </c>
      <c r="C148" s="970"/>
      <c r="D148" s="970"/>
      <c r="E148" s="970"/>
      <c r="F148" s="970"/>
      <c r="G148" s="971"/>
      <c r="H148" s="969" t="s">
        <v>2404</v>
      </c>
      <c r="I148" s="970"/>
      <c r="J148" s="970"/>
      <c r="K148" s="970"/>
      <c r="L148" s="970"/>
      <c r="M148" s="970"/>
      <c r="N148" s="970"/>
      <c r="O148" s="970"/>
      <c r="P148" s="970"/>
      <c r="Q148" s="971"/>
      <c r="R148" s="513"/>
    </row>
    <row r="149" spans="1:18" ht="11.85" customHeight="1">
      <c r="A149" s="520"/>
      <c r="B149" s="520"/>
      <c r="C149" s="520"/>
      <c r="D149" s="520"/>
      <c r="E149" s="520"/>
      <c r="F149" s="520"/>
      <c r="G149" s="520"/>
      <c r="H149" s="520"/>
      <c r="I149" s="520"/>
      <c r="J149" s="520"/>
      <c r="K149" s="520"/>
      <c r="L149" s="520"/>
      <c r="M149" s="520"/>
      <c r="N149" s="520"/>
      <c r="O149" s="520"/>
      <c r="P149" s="520"/>
      <c r="Q149" s="520"/>
    </row>
    <row r="150" spans="1:18" ht="34.700000000000003" customHeight="1">
      <c r="A150" s="567" t="s">
        <v>2405</v>
      </c>
      <c r="B150" s="959" t="s">
        <v>1889</v>
      </c>
      <c r="C150" s="960"/>
      <c r="D150" s="961"/>
      <c r="E150" s="959" t="s">
        <v>1890</v>
      </c>
      <c r="F150" s="960"/>
      <c r="G150" s="961"/>
      <c r="H150" s="959" t="s">
        <v>1891</v>
      </c>
      <c r="I150" s="961"/>
      <c r="J150" s="959" t="s">
        <v>1892</v>
      </c>
      <c r="K150" s="960"/>
      <c r="L150" s="960"/>
      <c r="M150" s="961"/>
      <c r="N150" s="959" t="s">
        <v>2274</v>
      </c>
      <c r="O150" s="960"/>
      <c r="P150" s="960"/>
      <c r="Q150" s="961"/>
      <c r="R150" s="513"/>
    </row>
    <row r="151" spans="1:18" ht="11.85" customHeight="1">
      <c r="A151" s="568" t="s">
        <v>2406</v>
      </c>
      <c r="B151" s="972" t="s">
        <v>2407</v>
      </c>
      <c r="C151" s="973"/>
      <c r="D151" s="974"/>
      <c r="E151" s="972" t="s">
        <v>2408</v>
      </c>
      <c r="F151" s="973"/>
      <c r="G151" s="974"/>
      <c r="H151" s="972" t="s">
        <v>2409</v>
      </c>
      <c r="I151" s="974"/>
      <c r="J151" s="972" t="s">
        <v>2409</v>
      </c>
      <c r="K151" s="973"/>
      <c r="L151" s="973"/>
      <c r="M151" s="974"/>
      <c r="N151" s="972" t="s">
        <v>895</v>
      </c>
      <c r="O151" s="973"/>
      <c r="P151" s="973"/>
      <c r="Q151" s="974"/>
      <c r="R151" s="569"/>
    </row>
    <row r="152" spans="1:18" ht="11.85" customHeight="1">
      <c r="A152" s="535" t="s">
        <v>2410</v>
      </c>
      <c r="B152" s="851" t="s">
        <v>2411</v>
      </c>
      <c r="C152" s="853"/>
      <c r="D152" s="852"/>
      <c r="E152" s="851" t="s">
        <v>2412</v>
      </c>
      <c r="F152" s="853"/>
      <c r="G152" s="852"/>
      <c r="H152" s="851" t="s">
        <v>2413</v>
      </c>
      <c r="I152" s="852"/>
      <c r="J152" s="851" t="s">
        <v>2413</v>
      </c>
      <c r="K152" s="853"/>
      <c r="L152" s="853"/>
      <c r="M152" s="852"/>
      <c r="N152" s="851" t="s">
        <v>895</v>
      </c>
      <c r="O152" s="853"/>
      <c r="P152" s="853"/>
      <c r="Q152" s="852"/>
      <c r="R152" s="569"/>
    </row>
    <row r="153" spans="1:18" ht="11.1" customHeight="1">
      <c r="A153" s="535" t="s">
        <v>2414</v>
      </c>
      <c r="B153" s="851" t="s">
        <v>2415</v>
      </c>
      <c r="C153" s="853"/>
      <c r="D153" s="852"/>
      <c r="E153" s="851" t="s">
        <v>2416</v>
      </c>
      <c r="F153" s="853"/>
      <c r="G153" s="852"/>
      <c r="H153" s="851" t="s">
        <v>2417</v>
      </c>
      <c r="I153" s="852"/>
      <c r="J153" s="851" t="s">
        <v>2417</v>
      </c>
      <c r="K153" s="853"/>
      <c r="L153" s="853"/>
      <c r="M153" s="852"/>
      <c r="N153" s="851" t="s">
        <v>895</v>
      </c>
      <c r="O153" s="853"/>
      <c r="P153" s="853"/>
      <c r="Q153" s="852"/>
      <c r="R153" s="569"/>
    </row>
    <row r="154" spans="1:18" ht="11.85" customHeight="1">
      <c r="A154" s="535" t="s">
        <v>2418</v>
      </c>
      <c r="B154" s="851" t="s">
        <v>2419</v>
      </c>
      <c r="C154" s="853"/>
      <c r="D154" s="852"/>
      <c r="E154" s="851" t="s">
        <v>2420</v>
      </c>
      <c r="F154" s="853"/>
      <c r="G154" s="852"/>
      <c r="H154" s="851" t="s">
        <v>2421</v>
      </c>
      <c r="I154" s="852"/>
      <c r="J154" s="851" t="s">
        <v>2422</v>
      </c>
      <c r="K154" s="853"/>
      <c r="L154" s="853"/>
      <c r="M154" s="852"/>
      <c r="N154" s="851" t="s">
        <v>895</v>
      </c>
      <c r="O154" s="853"/>
      <c r="P154" s="853"/>
      <c r="Q154" s="852"/>
      <c r="R154" s="569"/>
    </row>
    <row r="155" spans="1:18" ht="11.85" customHeight="1">
      <c r="A155" s="535" t="s">
        <v>2423</v>
      </c>
      <c r="B155" s="851">
        <v>10</v>
      </c>
      <c r="C155" s="853"/>
      <c r="D155" s="852"/>
      <c r="E155" s="851" t="s">
        <v>895</v>
      </c>
      <c r="F155" s="853"/>
      <c r="G155" s="852"/>
      <c r="H155" s="851" t="s">
        <v>895</v>
      </c>
      <c r="I155" s="852"/>
      <c r="J155" s="851" t="s">
        <v>895</v>
      </c>
      <c r="K155" s="853"/>
      <c r="L155" s="853"/>
      <c r="M155" s="852"/>
      <c r="N155" s="851" t="s">
        <v>895</v>
      </c>
      <c r="O155" s="853"/>
      <c r="P155" s="853"/>
      <c r="Q155" s="852"/>
      <c r="R155" s="569"/>
    </row>
    <row r="156" spans="1:18" ht="11.85" customHeight="1">
      <c r="A156" s="535" t="s">
        <v>2424</v>
      </c>
      <c r="B156" s="851">
        <v>10</v>
      </c>
      <c r="C156" s="853"/>
      <c r="D156" s="852"/>
      <c r="E156" s="851" t="s">
        <v>895</v>
      </c>
      <c r="F156" s="853"/>
      <c r="G156" s="852"/>
      <c r="H156" s="851" t="s">
        <v>895</v>
      </c>
      <c r="I156" s="852"/>
      <c r="J156" s="851" t="s">
        <v>895</v>
      </c>
      <c r="K156" s="853"/>
      <c r="L156" s="853"/>
      <c r="M156" s="852"/>
      <c r="N156" s="851" t="s">
        <v>895</v>
      </c>
      <c r="O156" s="853"/>
      <c r="P156" s="853"/>
      <c r="Q156" s="852"/>
      <c r="R156" s="569"/>
    </row>
    <row r="157" spans="1:18" ht="11.1" customHeight="1">
      <c r="A157" s="538" t="s">
        <v>2425</v>
      </c>
      <c r="B157" s="857" t="s">
        <v>895</v>
      </c>
      <c r="C157" s="859"/>
      <c r="D157" s="858"/>
      <c r="E157" s="857" t="s">
        <v>895</v>
      </c>
      <c r="F157" s="859"/>
      <c r="G157" s="858"/>
      <c r="H157" s="857" t="s">
        <v>895</v>
      </c>
      <c r="I157" s="858"/>
      <c r="J157" s="857" t="s">
        <v>895</v>
      </c>
      <c r="K157" s="859"/>
      <c r="L157" s="859"/>
      <c r="M157" s="858"/>
      <c r="N157" s="857" t="s">
        <v>895</v>
      </c>
      <c r="O157" s="859"/>
      <c r="P157" s="859"/>
      <c r="Q157" s="858"/>
      <c r="R157" s="569"/>
    </row>
    <row r="158" spans="1:18" ht="11.85" customHeight="1">
      <c r="A158" s="570" t="s">
        <v>2426</v>
      </c>
      <c r="B158" s="975" t="s">
        <v>2427</v>
      </c>
      <c r="C158" s="976"/>
      <c r="D158" s="977"/>
      <c r="E158" s="975" t="s">
        <v>2428</v>
      </c>
      <c r="F158" s="976"/>
      <c r="G158" s="977"/>
      <c r="H158" s="975" t="s">
        <v>2429</v>
      </c>
      <c r="I158" s="977"/>
      <c r="J158" s="975" t="s">
        <v>2430</v>
      </c>
      <c r="K158" s="976"/>
      <c r="L158" s="976"/>
      <c r="M158" s="977"/>
      <c r="N158" s="975" t="s">
        <v>895</v>
      </c>
      <c r="O158" s="976"/>
      <c r="P158" s="976"/>
      <c r="Q158" s="977"/>
      <c r="R158" s="569"/>
    </row>
    <row r="159" spans="1:18" ht="11.85" customHeight="1">
      <c r="A159" s="511"/>
      <c r="B159" s="511"/>
      <c r="C159" s="511"/>
      <c r="D159" s="511"/>
      <c r="E159" s="511"/>
      <c r="F159" s="511"/>
      <c r="G159" s="511"/>
      <c r="H159" s="511"/>
      <c r="I159" s="511"/>
      <c r="J159" s="511"/>
      <c r="K159" s="511"/>
      <c r="L159" s="511"/>
      <c r="M159" s="511"/>
      <c r="N159" s="511"/>
      <c r="O159" s="511"/>
      <c r="P159" s="511"/>
      <c r="Q159" s="511"/>
    </row>
    <row r="160" spans="1:18" ht="25.9" customHeight="1"/>
    <row r="161" spans="1:18" ht="11.85" customHeight="1">
      <c r="A161" s="968" t="s">
        <v>2263</v>
      </c>
      <c r="B161" s="968"/>
      <c r="C161" s="968"/>
      <c r="D161" s="968"/>
      <c r="E161" s="968"/>
      <c r="F161" s="968"/>
      <c r="G161" s="968"/>
      <c r="H161" s="968"/>
      <c r="I161" s="968"/>
      <c r="J161" s="968"/>
      <c r="K161" s="968"/>
      <c r="L161" s="968"/>
      <c r="M161" s="968"/>
      <c r="N161" s="968"/>
      <c r="O161" s="968"/>
      <c r="P161" s="968"/>
      <c r="Q161" s="968"/>
    </row>
    <row r="162" spans="1:18" ht="11.85" customHeight="1">
      <c r="A162" s="861" t="s">
        <v>1405</v>
      </c>
      <c r="B162" s="861"/>
      <c r="C162" s="861"/>
      <c r="Q162" s="559" t="s">
        <v>1973</v>
      </c>
    </row>
    <row r="163" spans="1:18" ht="11.1" customHeight="1">
      <c r="A163" s="861" t="s">
        <v>1836</v>
      </c>
      <c r="B163" s="861"/>
      <c r="C163" s="861"/>
    </row>
    <row r="164" spans="1:18" ht="11.85" customHeight="1">
      <c r="A164" s="863" t="s">
        <v>2212</v>
      </c>
      <c r="B164" s="863"/>
      <c r="C164" s="863"/>
      <c r="D164" s="863"/>
      <c r="E164" s="863"/>
      <c r="F164" s="863"/>
      <c r="G164" s="863"/>
      <c r="H164" s="863"/>
      <c r="I164" s="863"/>
      <c r="J164" s="863"/>
      <c r="K164" s="863"/>
      <c r="L164" s="863"/>
    </row>
    <row r="165" spans="1:18" ht="11.85" customHeight="1">
      <c r="A165" s="861" t="s">
        <v>1838</v>
      </c>
      <c r="B165" s="861"/>
      <c r="C165" s="861"/>
    </row>
    <row r="166" spans="1:18" ht="11.85" customHeight="1">
      <c r="A166" s="861" t="s">
        <v>885</v>
      </c>
      <c r="B166" s="861"/>
      <c r="C166" s="861"/>
    </row>
    <row r="167" spans="1:18" ht="5.85" customHeight="1"/>
    <row r="168" spans="1:18" ht="11.1" customHeight="1">
      <c r="A168" s="958" t="s">
        <v>2213</v>
      </c>
      <c r="B168" s="958"/>
      <c r="C168" s="958"/>
      <c r="D168" s="502"/>
      <c r="E168" s="502"/>
      <c r="F168" s="502"/>
      <c r="G168" s="502"/>
      <c r="H168" s="502"/>
      <c r="I168" s="502"/>
      <c r="J168" s="502"/>
      <c r="K168" s="502"/>
      <c r="L168" s="874" t="s">
        <v>887</v>
      </c>
      <c r="M168" s="874"/>
      <c r="N168" s="874"/>
      <c r="O168" s="874"/>
      <c r="P168" s="874"/>
      <c r="Q168" s="874"/>
    </row>
    <row r="169" spans="1:18" ht="35.450000000000003" customHeight="1">
      <c r="A169" s="560" t="s">
        <v>2431</v>
      </c>
      <c r="B169" s="959" t="s">
        <v>1889</v>
      </c>
      <c r="C169" s="960"/>
      <c r="D169" s="961"/>
      <c r="E169" s="959" t="s">
        <v>1890</v>
      </c>
      <c r="F169" s="960"/>
      <c r="G169" s="961"/>
      <c r="H169" s="959" t="s">
        <v>1891</v>
      </c>
      <c r="I169" s="961"/>
      <c r="J169" s="959" t="s">
        <v>1892</v>
      </c>
      <c r="K169" s="960"/>
      <c r="L169" s="960"/>
      <c r="M169" s="961"/>
      <c r="N169" s="959" t="s">
        <v>2274</v>
      </c>
      <c r="O169" s="960"/>
      <c r="P169" s="960"/>
      <c r="Q169" s="961"/>
      <c r="R169" s="513"/>
    </row>
    <row r="170" spans="1:18" ht="11.1" customHeight="1">
      <c r="A170" s="568" t="s">
        <v>2432</v>
      </c>
      <c r="B170" s="972" t="s">
        <v>2433</v>
      </c>
      <c r="C170" s="973"/>
      <c r="D170" s="974"/>
      <c r="E170" s="972" t="s">
        <v>2434</v>
      </c>
      <c r="F170" s="973"/>
      <c r="G170" s="974"/>
      <c r="H170" s="972" t="s">
        <v>2435</v>
      </c>
      <c r="I170" s="974"/>
      <c r="J170" s="972" t="s">
        <v>2436</v>
      </c>
      <c r="K170" s="973"/>
      <c r="L170" s="973"/>
      <c r="M170" s="974"/>
      <c r="N170" s="972" t="s">
        <v>895</v>
      </c>
      <c r="O170" s="973"/>
      <c r="P170" s="973"/>
      <c r="Q170" s="974"/>
      <c r="R170" s="569"/>
    </row>
    <row r="171" spans="1:18" ht="11.85" customHeight="1">
      <c r="A171" s="535" t="s">
        <v>2437</v>
      </c>
      <c r="B171" s="851" t="s">
        <v>2438</v>
      </c>
      <c r="C171" s="853"/>
      <c r="D171" s="852"/>
      <c r="E171" s="851" t="s">
        <v>2439</v>
      </c>
      <c r="F171" s="853"/>
      <c r="G171" s="852"/>
      <c r="H171" s="851" t="s">
        <v>2440</v>
      </c>
      <c r="I171" s="852"/>
      <c r="J171" s="851" t="s">
        <v>2441</v>
      </c>
      <c r="K171" s="853"/>
      <c r="L171" s="853"/>
      <c r="M171" s="852"/>
      <c r="N171" s="851" t="s">
        <v>895</v>
      </c>
      <c r="O171" s="853"/>
      <c r="P171" s="853"/>
      <c r="Q171" s="852"/>
      <c r="R171" s="569"/>
    </row>
    <row r="172" spans="1:18" ht="11.85" customHeight="1">
      <c r="A172" s="535" t="s">
        <v>2442</v>
      </c>
      <c r="B172" s="851" t="s">
        <v>2443</v>
      </c>
      <c r="C172" s="853"/>
      <c r="D172" s="852"/>
      <c r="E172" s="851" t="s">
        <v>2444</v>
      </c>
      <c r="F172" s="853"/>
      <c r="G172" s="852"/>
      <c r="H172" s="851" t="s">
        <v>2444</v>
      </c>
      <c r="I172" s="852"/>
      <c r="J172" s="851" t="s">
        <v>2445</v>
      </c>
      <c r="K172" s="853"/>
      <c r="L172" s="853"/>
      <c r="M172" s="852"/>
      <c r="N172" s="851" t="s">
        <v>895</v>
      </c>
      <c r="O172" s="853"/>
      <c r="P172" s="853"/>
      <c r="Q172" s="852"/>
      <c r="R172" s="569"/>
    </row>
    <row r="173" spans="1:18" ht="11.85" customHeight="1">
      <c r="A173" s="535" t="s">
        <v>2446</v>
      </c>
      <c r="B173" s="851" t="s">
        <v>895</v>
      </c>
      <c r="C173" s="853"/>
      <c r="D173" s="852"/>
      <c r="E173" s="851" t="s">
        <v>895</v>
      </c>
      <c r="F173" s="853"/>
      <c r="G173" s="852"/>
      <c r="H173" s="851" t="s">
        <v>895</v>
      </c>
      <c r="I173" s="852"/>
      <c r="J173" s="851" t="s">
        <v>895</v>
      </c>
      <c r="K173" s="853"/>
      <c r="L173" s="853"/>
      <c r="M173" s="852"/>
      <c r="N173" s="851" t="s">
        <v>895</v>
      </c>
      <c r="O173" s="853"/>
      <c r="P173" s="853"/>
      <c r="Q173" s="852"/>
      <c r="R173" s="569"/>
    </row>
    <row r="174" spans="1:18" ht="11.1" customHeight="1">
      <c r="A174" s="535" t="s">
        <v>2447</v>
      </c>
      <c r="B174" s="851" t="s">
        <v>2448</v>
      </c>
      <c r="C174" s="853"/>
      <c r="D174" s="852"/>
      <c r="E174" s="851" t="s">
        <v>2448</v>
      </c>
      <c r="F174" s="853"/>
      <c r="G174" s="852"/>
      <c r="H174" s="851" t="s">
        <v>2449</v>
      </c>
      <c r="I174" s="852"/>
      <c r="J174" s="851" t="s">
        <v>2449</v>
      </c>
      <c r="K174" s="853"/>
      <c r="L174" s="853"/>
      <c r="M174" s="852"/>
      <c r="N174" s="851" t="s">
        <v>895</v>
      </c>
      <c r="O174" s="853"/>
      <c r="P174" s="853"/>
      <c r="Q174" s="852"/>
      <c r="R174" s="569"/>
    </row>
    <row r="175" spans="1:18" ht="11.85" customHeight="1">
      <c r="A175" s="535" t="s">
        <v>2450</v>
      </c>
      <c r="B175" s="851" t="s">
        <v>2451</v>
      </c>
      <c r="C175" s="853"/>
      <c r="D175" s="852"/>
      <c r="E175" s="851" t="s">
        <v>2452</v>
      </c>
      <c r="F175" s="853"/>
      <c r="G175" s="852"/>
      <c r="H175" s="851" t="s">
        <v>2453</v>
      </c>
      <c r="I175" s="852"/>
      <c r="J175" s="851" t="s">
        <v>2454</v>
      </c>
      <c r="K175" s="853"/>
      <c r="L175" s="853"/>
      <c r="M175" s="852"/>
      <c r="N175" s="851" t="s">
        <v>895</v>
      </c>
      <c r="O175" s="853"/>
      <c r="P175" s="853"/>
      <c r="Q175" s="852"/>
      <c r="R175" s="569"/>
    </row>
    <row r="176" spans="1:18" ht="11.85" customHeight="1">
      <c r="A176" s="535" t="s">
        <v>2455</v>
      </c>
      <c r="B176" s="851" t="s">
        <v>2456</v>
      </c>
      <c r="C176" s="853"/>
      <c r="D176" s="852"/>
      <c r="E176" s="851" t="s">
        <v>2457</v>
      </c>
      <c r="F176" s="853"/>
      <c r="G176" s="852"/>
      <c r="H176" s="851" t="s">
        <v>2458</v>
      </c>
      <c r="I176" s="852"/>
      <c r="J176" s="851" t="s">
        <v>2459</v>
      </c>
      <c r="K176" s="853"/>
      <c r="L176" s="853"/>
      <c r="M176" s="852"/>
      <c r="N176" s="851" t="s">
        <v>895</v>
      </c>
      <c r="O176" s="853"/>
      <c r="P176" s="853"/>
      <c r="Q176" s="852"/>
      <c r="R176" s="569"/>
    </row>
    <row r="177" spans="1:18" ht="11.85" customHeight="1">
      <c r="A177" s="535" t="s">
        <v>2460</v>
      </c>
      <c r="B177" s="851" t="s">
        <v>895</v>
      </c>
      <c r="C177" s="853"/>
      <c r="D177" s="852"/>
      <c r="E177" s="851" t="s">
        <v>895</v>
      </c>
      <c r="F177" s="853"/>
      <c r="G177" s="852"/>
      <c r="H177" s="851" t="s">
        <v>895</v>
      </c>
      <c r="I177" s="852"/>
      <c r="J177" s="851" t="s">
        <v>895</v>
      </c>
      <c r="K177" s="853"/>
      <c r="L177" s="853"/>
      <c r="M177" s="852"/>
      <c r="N177" s="851" t="s">
        <v>895</v>
      </c>
      <c r="O177" s="853"/>
      <c r="P177" s="853"/>
      <c r="Q177" s="852"/>
      <c r="R177" s="569"/>
    </row>
    <row r="178" spans="1:18" ht="11.1" customHeight="1">
      <c r="A178" s="538" t="s">
        <v>2461</v>
      </c>
      <c r="B178" s="857" t="s">
        <v>2456</v>
      </c>
      <c r="C178" s="859"/>
      <c r="D178" s="858"/>
      <c r="E178" s="857" t="s">
        <v>2457</v>
      </c>
      <c r="F178" s="859"/>
      <c r="G178" s="858"/>
      <c r="H178" s="857" t="s">
        <v>2458</v>
      </c>
      <c r="I178" s="858"/>
      <c r="J178" s="857" t="s">
        <v>2459</v>
      </c>
      <c r="K178" s="859"/>
      <c r="L178" s="859"/>
      <c r="M178" s="858"/>
      <c r="N178" s="857" t="s">
        <v>895</v>
      </c>
      <c r="O178" s="859"/>
      <c r="P178" s="859"/>
      <c r="Q178" s="858"/>
      <c r="R178" s="569"/>
    </row>
    <row r="179" spans="1:18" ht="35.450000000000003" customHeight="1">
      <c r="A179" s="560" t="s">
        <v>2462</v>
      </c>
      <c r="B179" s="959" t="s">
        <v>2463</v>
      </c>
      <c r="C179" s="960"/>
      <c r="D179" s="960"/>
      <c r="E179" s="960"/>
      <c r="F179" s="960"/>
      <c r="G179" s="961"/>
      <c r="H179" s="959" t="s">
        <v>2464</v>
      </c>
      <c r="I179" s="960"/>
      <c r="J179" s="960"/>
      <c r="K179" s="960"/>
      <c r="L179" s="960"/>
      <c r="M179" s="960"/>
      <c r="N179" s="960"/>
      <c r="O179" s="960"/>
      <c r="P179" s="960"/>
      <c r="Q179" s="961"/>
      <c r="R179" s="513"/>
    </row>
    <row r="180" spans="1:18" ht="11.1" customHeight="1">
      <c r="A180" s="568" t="s">
        <v>2465</v>
      </c>
      <c r="B180" s="972" t="s">
        <v>541</v>
      </c>
      <c r="C180" s="973"/>
      <c r="D180" s="973"/>
      <c r="E180" s="973"/>
      <c r="F180" s="973"/>
      <c r="G180" s="974"/>
      <c r="H180" s="972" t="s">
        <v>551</v>
      </c>
      <c r="I180" s="973"/>
      <c r="J180" s="973"/>
      <c r="K180" s="973"/>
      <c r="L180" s="973"/>
      <c r="M180" s="973"/>
      <c r="N180" s="973"/>
      <c r="O180" s="973"/>
      <c r="P180" s="973"/>
      <c r="Q180" s="974"/>
      <c r="R180" s="569"/>
    </row>
    <row r="181" spans="1:18" ht="11.85" customHeight="1">
      <c r="A181" s="535" t="s">
        <v>2466</v>
      </c>
      <c r="B181" s="851" t="s">
        <v>978</v>
      </c>
      <c r="C181" s="853"/>
      <c r="D181" s="853"/>
      <c r="E181" s="853"/>
      <c r="F181" s="853"/>
      <c r="G181" s="852"/>
      <c r="H181" s="851" t="s">
        <v>996</v>
      </c>
      <c r="I181" s="853"/>
      <c r="J181" s="853"/>
      <c r="K181" s="853"/>
      <c r="L181" s="853"/>
      <c r="M181" s="853"/>
      <c r="N181" s="853"/>
      <c r="O181" s="853"/>
      <c r="P181" s="853"/>
      <c r="Q181" s="852"/>
      <c r="R181" s="569"/>
    </row>
    <row r="182" spans="1:18" ht="11.85" customHeight="1">
      <c r="A182" s="535" t="s">
        <v>2467</v>
      </c>
      <c r="B182" s="851" t="s">
        <v>1248</v>
      </c>
      <c r="C182" s="853"/>
      <c r="D182" s="853"/>
      <c r="E182" s="853"/>
      <c r="F182" s="853"/>
      <c r="G182" s="852"/>
      <c r="H182" s="851" t="s">
        <v>1258</v>
      </c>
      <c r="I182" s="853"/>
      <c r="J182" s="853"/>
      <c r="K182" s="853"/>
      <c r="L182" s="853"/>
      <c r="M182" s="853"/>
      <c r="N182" s="853"/>
      <c r="O182" s="853"/>
      <c r="P182" s="853"/>
      <c r="Q182" s="852"/>
      <c r="R182" s="569"/>
    </row>
    <row r="183" spans="1:18" ht="11.85" customHeight="1">
      <c r="A183" s="535" t="s">
        <v>2468</v>
      </c>
      <c r="B183" s="851" t="s">
        <v>1249</v>
      </c>
      <c r="C183" s="853"/>
      <c r="D183" s="853"/>
      <c r="E183" s="853"/>
      <c r="F183" s="853"/>
      <c r="G183" s="852"/>
      <c r="H183" s="851" t="s">
        <v>1259</v>
      </c>
      <c r="I183" s="853"/>
      <c r="J183" s="853"/>
      <c r="K183" s="853"/>
      <c r="L183" s="853"/>
      <c r="M183" s="853"/>
      <c r="N183" s="853"/>
      <c r="O183" s="853"/>
      <c r="P183" s="853"/>
      <c r="Q183" s="852"/>
      <c r="R183" s="569"/>
    </row>
    <row r="184" spans="1:18" ht="11.1" customHeight="1">
      <c r="A184" s="535" t="s">
        <v>2469</v>
      </c>
      <c r="B184" s="851" t="s">
        <v>895</v>
      </c>
      <c r="C184" s="853"/>
      <c r="D184" s="853"/>
      <c r="E184" s="853"/>
      <c r="F184" s="853"/>
      <c r="G184" s="852"/>
      <c r="H184" s="851" t="s">
        <v>895</v>
      </c>
      <c r="I184" s="853"/>
      <c r="J184" s="853"/>
      <c r="K184" s="853"/>
      <c r="L184" s="853"/>
      <c r="M184" s="853"/>
      <c r="N184" s="853"/>
      <c r="O184" s="853"/>
      <c r="P184" s="853"/>
      <c r="Q184" s="852"/>
      <c r="R184" s="569"/>
    </row>
    <row r="185" spans="1:18" ht="11.85" customHeight="1">
      <c r="A185" s="535" t="s">
        <v>2470</v>
      </c>
      <c r="B185" s="851" t="s">
        <v>895</v>
      </c>
      <c r="C185" s="853"/>
      <c r="D185" s="853"/>
      <c r="E185" s="853"/>
      <c r="F185" s="853"/>
      <c r="G185" s="852"/>
      <c r="H185" s="851" t="s">
        <v>895</v>
      </c>
      <c r="I185" s="853"/>
      <c r="J185" s="853"/>
      <c r="K185" s="853"/>
      <c r="L185" s="853"/>
      <c r="M185" s="853"/>
      <c r="N185" s="853"/>
      <c r="O185" s="853"/>
      <c r="P185" s="853"/>
      <c r="Q185" s="852"/>
      <c r="R185" s="569"/>
    </row>
    <row r="186" spans="1:18" ht="11.85" customHeight="1">
      <c r="A186" s="538" t="s">
        <v>2471</v>
      </c>
      <c r="B186" s="857" t="s">
        <v>1249</v>
      </c>
      <c r="C186" s="859"/>
      <c r="D186" s="859"/>
      <c r="E186" s="859"/>
      <c r="F186" s="859"/>
      <c r="G186" s="858"/>
      <c r="H186" s="857" t="s">
        <v>1259</v>
      </c>
      <c r="I186" s="859"/>
      <c r="J186" s="859"/>
      <c r="K186" s="859"/>
      <c r="L186" s="859"/>
      <c r="M186" s="859"/>
      <c r="N186" s="859"/>
      <c r="O186" s="859"/>
      <c r="P186" s="859"/>
      <c r="Q186" s="858"/>
      <c r="R186" s="569"/>
    </row>
    <row r="187" spans="1:18" ht="5.85" customHeight="1">
      <c r="A187" s="511"/>
      <c r="B187" s="511"/>
      <c r="C187" s="511"/>
      <c r="D187" s="511"/>
      <c r="E187" s="511"/>
      <c r="F187" s="511"/>
      <c r="G187" s="511"/>
      <c r="H187" s="511"/>
      <c r="I187" s="511"/>
      <c r="J187" s="511"/>
      <c r="K187" s="511"/>
      <c r="L187" s="511"/>
      <c r="M187" s="511"/>
      <c r="N187" s="511"/>
      <c r="O187" s="511"/>
      <c r="P187" s="511"/>
      <c r="Q187" s="511"/>
    </row>
    <row r="188" spans="1:18" ht="52.5" customHeight="1">
      <c r="A188" s="986" t="s">
        <v>2472</v>
      </c>
      <c r="B188" s="986"/>
      <c r="C188" s="986"/>
      <c r="D188" s="986"/>
      <c r="E188" s="986"/>
      <c r="F188" s="986"/>
      <c r="G188" s="986"/>
      <c r="H188" s="986"/>
      <c r="I188" s="986"/>
      <c r="J188" s="986"/>
      <c r="K188" s="986"/>
      <c r="L188" s="986"/>
      <c r="M188" s="986"/>
      <c r="N188" s="986"/>
      <c r="O188" s="986"/>
      <c r="P188" s="986"/>
      <c r="Q188" s="986"/>
    </row>
    <row r="189" spans="1:18" ht="33" customHeight="1">
      <c r="A189" s="986"/>
      <c r="B189" s="986"/>
      <c r="C189" s="986"/>
      <c r="D189" s="986"/>
      <c r="E189" s="986"/>
      <c r="F189" s="986"/>
      <c r="G189" s="986"/>
      <c r="H189" s="986"/>
      <c r="I189" s="986"/>
      <c r="J189" s="986"/>
      <c r="K189" s="986"/>
      <c r="L189" s="986"/>
      <c r="M189" s="986"/>
      <c r="N189" s="986"/>
      <c r="O189" s="986"/>
      <c r="P189" s="986"/>
      <c r="Q189" s="986"/>
    </row>
    <row r="190" spans="1:18" ht="11.85" customHeight="1"/>
    <row r="193" spans="1:17" ht="11.85" customHeight="1">
      <c r="A193" s="968" t="s">
        <v>2263</v>
      </c>
      <c r="B193" s="968"/>
      <c r="C193" s="968"/>
      <c r="D193" s="968"/>
      <c r="E193" s="968"/>
      <c r="F193" s="968"/>
      <c r="G193" s="968"/>
      <c r="H193" s="968"/>
      <c r="I193" s="968"/>
      <c r="J193" s="968"/>
      <c r="K193" s="968"/>
      <c r="L193" s="968"/>
      <c r="M193" s="968"/>
      <c r="N193" s="968"/>
      <c r="O193" s="968"/>
      <c r="P193" s="968"/>
      <c r="Q193" s="968"/>
    </row>
  </sheetData>
  <mergeCells count="465">
    <mergeCell ref="B185:G185"/>
    <mergeCell ref="H185:Q185"/>
    <mergeCell ref="B186:G186"/>
    <mergeCell ref="H186:Q186"/>
    <mergeCell ref="A188:Q189"/>
    <mergeCell ref="A193:Q193"/>
    <mergeCell ref="B182:G182"/>
    <mergeCell ref="H182:Q182"/>
    <mergeCell ref="B183:G183"/>
    <mergeCell ref="H183:Q183"/>
    <mergeCell ref="B184:G184"/>
    <mergeCell ref="H184:Q184"/>
    <mergeCell ref="B179:G179"/>
    <mergeCell ref="H179:Q179"/>
    <mergeCell ref="B180:G180"/>
    <mergeCell ref="H180:Q180"/>
    <mergeCell ref="B181:G181"/>
    <mergeCell ref="H181:Q181"/>
    <mergeCell ref="B177:D177"/>
    <mergeCell ref="E177:G177"/>
    <mergeCell ref="H177:I177"/>
    <mergeCell ref="J177:M177"/>
    <mergeCell ref="N177:Q177"/>
    <mergeCell ref="B178:D178"/>
    <mergeCell ref="E178:G178"/>
    <mergeCell ref="H178:I178"/>
    <mergeCell ref="J178:M178"/>
    <mergeCell ref="N178:Q178"/>
    <mergeCell ref="B175:D175"/>
    <mergeCell ref="E175:G175"/>
    <mergeCell ref="H175:I175"/>
    <mergeCell ref="J175:M175"/>
    <mergeCell ref="N175:Q175"/>
    <mergeCell ref="B176:D176"/>
    <mergeCell ref="E176:G176"/>
    <mergeCell ref="H176:I176"/>
    <mergeCell ref="J176:M176"/>
    <mergeCell ref="N176:Q176"/>
    <mergeCell ref="B173:D173"/>
    <mergeCell ref="E173:G173"/>
    <mergeCell ref="H173:I173"/>
    <mergeCell ref="J173:M173"/>
    <mergeCell ref="N173:Q173"/>
    <mergeCell ref="B174:D174"/>
    <mergeCell ref="E174:G174"/>
    <mergeCell ref="H174:I174"/>
    <mergeCell ref="J174:M174"/>
    <mergeCell ref="N174:Q174"/>
    <mergeCell ref="B171:D171"/>
    <mergeCell ref="E171:G171"/>
    <mergeCell ref="H171:I171"/>
    <mergeCell ref="J171:M171"/>
    <mergeCell ref="N171:Q171"/>
    <mergeCell ref="B172:D172"/>
    <mergeCell ref="E172:G172"/>
    <mergeCell ref="H172:I172"/>
    <mergeCell ref="J172:M172"/>
    <mergeCell ref="N172:Q172"/>
    <mergeCell ref="B169:D169"/>
    <mergeCell ref="E169:G169"/>
    <mergeCell ref="H169:I169"/>
    <mergeCell ref="J169:M169"/>
    <mergeCell ref="N169:Q169"/>
    <mergeCell ref="B170:D170"/>
    <mergeCell ref="E170:G170"/>
    <mergeCell ref="H170:I170"/>
    <mergeCell ref="J170:M170"/>
    <mergeCell ref="N170:Q170"/>
    <mergeCell ref="A162:C162"/>
    <mergeCell ref="A163:C163"/>
    <mergeCell ref="A164:L164"/>
    <mergeCell ref="A165:C165"/>
    <mergeCell ref="A166:C166"/>
    <mergeCell ref="A168:C168"/>
    <mergeCell ref="L168:Q168"/>
    <mergeCell ref="B158:D158"/>
    <mergeCell ref="E158:G158"/>
    <mergeCell ref="H158:I158"/>
    <mergeCell ref="J158:M158"/>
    <mergeCell ref="N158:Q158"/>
    <mergeCell ref="A161:Q161"/>
    <mergeCell ref="B156:D156"/>
    <mergeCell ref="E156:G156"/>
    <mergeCell ref="H156:I156"/>
    <mergeCell ref="J156:M156"/>
    <mergeCell ref="N156:Q156"/>
    <mergeCell ref="B157:D157"/>
    <mergeCell ref="E157:G157"/>
    <mergeCell ref="H157:I157"/>
    <mergeCell ref="J157:M157"/>
    <mergeCell ref="N157:Q157"/>
    <mergeCell ref="B154:D154"/>
    <mergeCell ref="E154:G154"/>
    <mergeCell ref="H154:I154"/>
    <mergeCell ref="J154:M154"/>
    <mergeCell ref="N154:Q154"/>
    <mergeCell ref="B155:D155"/>
    <mergeCell ref="E155:G155"/>
    <mergeCell ref="H155:I155"/>
    <mergeCell ref="J155:M155"/>
    <mergeCell ref="N155:Q155"/>
    <mergeCell ref="B152:D152"/>
    <mergeCell ref="E152:G152"/>
    <mergeCell ref="H152:I152"/>
    <mergeCell ref="J152:M152"/>
    <mergeCell ref="N152:Q152"/>
    <mergeCell ref="B153:D153"/>
    <mergeCell ref="E153:G153"/>
    <mergeCell ref="H153:I153"/>
    <mergeCell ref="J153:M153"/>
    <mergeCell ref="N153:Q153"/>
    <mergeCell ref="B150:D150"/>
    <mergeCell ref="E150:G150"/>
    <mergeCell ref="H150:I150"/>
    <mergeCell ref="J150:M150"/>
    <mergeCell ref="N150:Q150"/>
    <mergeCell ref="B151:D151"/>
    <mergeCell ref="E151:G151"/>
    <mergeCell ref="H151:I151"/>
    <mergeCell ref="J151:M151"/>
    <mergeCell ref="N151:Q151"/>
    <mergeCell ref="B146:G146"/>
    <mergeCell ref="H146:Q146"/>
    <mergeCell ref="B147:G147"/>
    <mergeCell ref="H147:Q147"/>
    <mergeCell ref="B148:G148"/>
    <mergeCell ref="H148:Q148"/>
    <mergeCell ref="B143:G143"/>
    <mergeCell ref="H143:Q143"/>
    <mergeCell ref="B144:G144"/>
    <mergeCell ref="H144:Q144"/>
    <mergeCell ref="B145:G145"/>
    <mergeCell ref="H145:Q145"/>
    <mergeCell ref="B140:G140"/>
    <mergeCell ref="H140:Q140"/>
    <mergeCell ref="B141:G141"/>
    <mergeCell ref="H141:Q141"/>
    <mergeCell ref="B142:G142"/>
    <mergeCell ref="H142:Q142"/>
    <mergeCell ref="A136:Q136"/>
    <mergeCell ref="B137:G137"/>
    <mergeCell ref="H137:Q137"/>
    <mergeCell ref="B138:G138"/>
    <mergeCell ref="H138:Q138"/>
    <mergeCell ref="B139:G139"/>
    <mergeCell ref="H139:Q139"/>
    <mergeCell ref="B133:D133"/>
    <mergeCell ref="E133:G133"/>
    <mergeCell ref="H133:I133"/>
    <mergeCell ref="J133:M133"/>
    <mergeCell ref="N133:Q133"/>
    <mergeCell ref="B134:D134"/>
    <mergeCell ref="E134:G134"/>
    <mergeCell ref="H134:I134"/>
    <mergeCell ref="J134:M134"/>
    <mergeCell ref="N134:Q134"/>
    <mergeCell ref="B131:D131"/>
    <mergeCell ref="E131:G131"/>
    <mergeCell ref="H131:I131"/>
    <mergeCell ref="J131:M131"/>
    <mergeCell ref="N131:Q131"/>
    <mergeCell ref="B132:D132"/>
    <mergeCell ref="E132:G132"/>
    <mergeCell ref="H132:I132"/>
    <mergeCell ref="J132:M132"/>
    <mergeCell ref="N132:Q132"/>
    <mergeCell ref="A129:C129"/>
    <mergeCell ref="L129:Q129"/>
    <mergeCell ref="B130:D130"/>
    <mergeCell ref="E130:G130"/>
    <mergeCell ref="H130:I130"/>
    <mergeCell ref="J130:M130"/>
    <mergeCell ref="N130:Q130"/>
    <mergeCell ref="A122:Q122"/>
    <mergeCell ref="A123:C123"/>
    <mergeCell ref="A124:C124"/>
    <mergeCell ref="A125:L125"/>
    <mergeCell ref="A126:C126"/>
    <mergeCell ref="A127:C127"/>
    <mergeCell ref="B119:G119"/>
    <mergeCell ref="H119:M119"/>
    <mergeCell ref="N119:Q119"/>
    <mergeCell ref="B120:G120"/>
    <mergeCell ref="H120:M120"/>
    <mergeCell ref="N120:Q120"/>
    <mergeCell ref="A115:M115"/>
    <mergeCell ref="N115:Q115"/>
    <mergeCell ref="A116:M116"/>
    <mergeCell ref="N116:Q116"/>
    <mergeCell ref="A117:M117"/>
    <mergeCell ref="N117:Q117"/>
    <mergeCell ref="A112:M112"/>
    <mergeCell ref="N112:Q112"/>
    <mergeCell ref="A113:M113"/>
    <mergeCell ref="N113:Q113"/>
    <mergeCell ref="A114:M114"/>
    <mergeCell ref="N114:Q114"/>
    <mergeCell ref="B110:D110"/>
    <mergeCell ref="E110:G110"/>
    <mergeCell ref="H110:I110"/>
    <mergeCell ref="J110:M110"/>
    <mergeCell ref="N110:Q110"/>
    <mergeCell ref="A111:M111"/>
    <mergeCell ref="N111:Q111"/>
    <mergeCell ref="B108:D108"/>
    <mergeCell ref="E108:G108"/>
    <mergeCell ref="H108:I108"/>
    <mergeCell ref="J108:M108"/>
    <mergeCell ref="N108:Q108"/>
    <mergeCell ref="B109:D109"/>
    <mergeCell ref="E109:G109"/>
    <mergeCell ref="H109:I109"/>
    <mergeCell ref="J109:M109"/>
    <mergeCell ref="N109:Q109"/>
    <mergeCell ref="B106:D106"/>
    <mergeCell ref="E106:G106"/>
    <mergeCell ref="H106:I106"/>
    <mergeCell ref="J106:M106"/>
    <mergeCell ref="N106:Q106"/>
    <mergeCell ref="B107:D107"/>
    <mergeCell ref="E107:G107"/>
    <mergeCell ref="H107:I107"/>
    <mergeCell ref="J107:M107"/>
    <mergeCell ref="N107:Q107"/>
    <mergeCell ref="A104:Q104"/>
    <mergeCell ref="B105:D105"/>
    <mergeCell ref="E105:G105"/>
    <mergeCell ref="H105:I105"/>
    <mergeCell ref="J105:M105"/>
    <mergeCell ref="N105:Q105"/>
    <mergeCell ref="C101:F101"/>
    <mergeCell ref="G101:H101"/>
    <mergeCell ref="I101:J101"/>
    <mergeCell ref="K101:O101"/>
    <mergeCell ref="P101:Q101"/>
    <mergeCell ref="C102:F102"/>
    <mergeCell ref="G102:H102"/>
    <mergeCell ref="I102:J102"/>
    <mergeCell ref="K102:O102"/>
    <mergeCell ref="P102:Q102"/>
    <mergeCell ref="C99:F99"/>
    <mergeCell ref="G99:H99"/>
    <mergeCell ref="I99:J99"/>
    <mergeCell ref="K99:O99"/>
    <mergeCell ref="P99:Q99"/>
    <mergeCell ref="C100:F100"/>
    <mergeCell ref="G100:H100"/>
    <mergeCell ref="I100:J100"/>
    <mergeCell ref="K100:O100"/>
    <mergeCell ref="P100:Q100"/>
    <mergeCell ref="B96:E96"/>
    <mergeCell ref="F96:H96"/>
    <mergeCell ref="I96:N96"/>
    <mergeCell ref="O96:Q96"/>
    <mergeCell ref="B97:E97"/>
    <mergeCell ref="F97:H97"/>
    <mergeCell ref="I97:N97"/>
    <mergeCell ref="O97:Q97"/>
    <mergeCell ref="B93:E93"/>
    <mergeCell ref="F93:H93"/>
    <mergeCell ref="I93:N93"/>
    <mergeCell ref="O93:Q93"/>
    <mergeCell ref="B94:E94"/>
    <mergeCell ref="F94:H94"/>
    <mergeCell ref="I94:N94"/>
    <mergeCell ref="O94:Q94"/>
    <mergeCell ref="B91:E91"/>
    <mergeCell ref="F91:H91"/>
    <mergeCell ref="I91:N91"/>
    <mergeCell ref="O91:Q91"/>
    <mergeCell ref="B92:E92"/>
    <mergeCell ref="F92:H92"/>
    <mergeCell ref="I92:N92"/>
    <mergeCell ref="O92:Q92"/>
    <mergeCell ref="A84:C84"/>
    <mergeCell ref="A85:C85"/>
    <mergeCell ref="A86:L86"/>
    <mergeCell ref="A87:C87"/>
    <mergeCell ref="A88:C88"/>
    <mergeCell ref="A90:C90"/>
    <mergeCell ref="L90:Q90"/>
    <mergeCell ref="B80:D80"/>
    <mergeCell ref="E80:G80"/>
    <mergeCell ref="H80:I80"/>
    <mergeCell ref="J80:M80"/>
    <mergeCell ref="N80:Q80"/>
    <mergeCell ref="A83:Q83"/>
    <mergeCell ref="B78:D78"/>
    <mergeCell ref="E78:G78"/>
    <mergeCell ref="H78:I78"/>
    <mergeCell ref="J78:M78"/>
    <mergeCell ref="N78:Q78"/>
    <mergeCell ref="B79:D79"/>
    <mergeCell ref="E79:G79"/>
    <mergeCell ref="H79:I79"/>
    <mergeCell ref="J79:M79"/>
    <mergeCell ref="N79:Q79"/>
    <mergeCell ref="B76:D76"/>
    <mergeCell ref="E76:G76"/>
    <mergeCell ref="H76:I76"/>
    <mergeCell ref="J76:M76"/>
    <mergeCell ref="N76:Q76"/>
    <mergeCell ref="B77:D77"/>
    <mergeCell ref="E77:G77"/>
    <mergeCell ref="H77:I77"/>
    <mergeCell ref="J77:M77"/>
    <mergeCell ref="N77:Q77"/>
    <mergeCell ref="B74:D74"/>
    <mergeCell ref="E74:G74"/>
    <mergeCell ref="H74:I74"/>
    <mergeCell ref="J74:M74"/>
    <mergeCell ref="N74:Q74"/>
    <mergeCell ref="B75:D75"/>
    <mergeCell ref="E75:G75"/>
    <mergeCell ref="H75:I75"/>
    <mergeCell ref="J75:M75"/>
    <mergeCell ref="N75:Q75"/>
    <mergeCell ref="B71:D71"/>
    <mergeCell ref="E71:G71"/>
    <mergeCell ref="H71:I71"/>
    <mergeCell ref="J71:M71"/>
    <mergeCell ref="N71:Q71"/>
    <mergeCell ref="A73:Q73"/>
    <mergeCell ref="B69:D69"/>
    <mergeCell ref="E69:G69"/>
    <mergeCell ref="H69:I69"/>
    <mergeCell ref="J69:M69"/>
    <mergeCell ref="N69:Q69"/>
    <mergeCell ref="B70:D70"/>
    <mergeCell ref="E70:G70"/>
    <mergeCell ref="H70:I70"/>
    <mergeCell ref="J70:M70"/>
    <mergeCell ref="N70:Q70"/>
    <mergeCell ref="B67:D67"/>
    <mergeCell ref="E67:G67"/>
    <mergeCell ref="H67:I67"/>
    <mergeCell ref="J67:M67"/>
    <mergeCell ref="N67:Q67"/>
    <mergeCell ref="B68:D68"/>
    <mergeCell ref="E68:G68"/>
    <mergeCell ref="H68:I68"/>
    <mergeCell ref="J68:M68"/>
    <mergeCell ref="N68:Q68"/>
    <mergeCell ref="B65:D65"/>
    <mergeCell ref="E65:G65"/>
    <mergeCell ref="H65:I65"/>
    <mergeCell ref="J65:M65"/>
    <mergeCell ref="N65:Q65"/>
    <mergeCell ref="B66:D66"/>
    <mergeCell ref="E66:G66"/>
    <mergeCell ref="H66:I66"/>
    <mergeCell ref="J66:M66"/>
    <mergeCell ref="N66:Q66"/>
    <mergeCell ref="B63:D63"/>
    <mergeCell ref="E63:G63"/>
    <mergeCell ref="H63:I63"/>
    <mergeCell ref="J63:M63"/>
    <mergeCell ref="N63:Q63"/>
    <mergeCell ref="B64:D64"/>
    <mergeCell ref="E64:G64"/>
    <mergeCell ref="H64:I64"/>
    <mergeCell ref="J64:M64"/>
    <mergeCell ref="N64:Q64"/>
    <mergeCell ref="B61:D61"/>
    <mergeCell ref="E61:G61"/>
    <mergeCell ref="H61:I61"/>
    <mergeCell ref="J61:M61"/>
    <mergeCell ref="N61:Q61"/>
    <mergeCell ref="B62:D62"/>
    <mergeCell ref="E62:G62"/>
    <mergeCell ref="H62:I62"/>
    <mergeCell ref="J62:M62"/>
    <mergeCell ref="N62:Q62"/>
    <mergeCell ref="B54:Q54"/>
    <mergeCell ref="B55:Q55"/>
    <mergeCell ref="B56:Q56"/>
    <mergeCell ref="B57:Q57"/>
    <mergeCell ref="B58:Q58"/>
    <mergeCell ref="B60:D60"/>
    <mergeCell ref="E60:G60"/>
    <mergeCell ref="H60:I60"/>
    <mergeCell ref="J60:M60"/>
    <mergeCell ref="N60:Q60"/>
    <mergeCell ref="A49:Q49"/>
    <mergeCell ref="B50:G50"/>
    <mergeCell ref="H50:Q50"/>
    <mergeCell ref="B51:G51"/>
    <mergeCell ref="H51:Q51"/>
    <mergeCell ref="B52:G52"/>
    <mergeCell ref="H52:Q52"/>
    <mergeCell ref="A43:C43"/>
    <mergeCell ref="A44:L44"/>
    <mergeCell ref="A45:C45"/>
    <mergeCell ref="A46:C46"/>
    <mergeCell ref="A48:C48"/>
    <mergeCell ref="L48:Q48"/>
    <mergeCell ref="B38:G38"/>
    <mergeCell ref="H38:Q38"/>
    <mergeCell ref="B39:G39"/>
    <mergeCell ref="H39:Q39"/>
    <mergeCell ref="A41:Q41"/>
    <mergeCell ref="A42:C42"/>
    <mergeCell ref="B35:G35"/>
    <mergeCell ref="H35:Q35"/>
    <mergeCell ref="B36:G36"/>
    <mergeCell ref="H36:Q36"/>
    <mergeCell ref="B37:G37"/>
    <mergeCell ref="H37:Q37"/>
    <mergeCell ref="B32:G32"/>
    <mergeCell ref="H32:Q32"/>
    <mergeCell ref="B33:G33"/>
    <mergeCell ref="H33:Q33"/>
    <mergeCell ref="B34:G34"/>
    <mergeCell ref="H34:Q34"/>
    <mergeCell ref="B27:G27"/>
    <mergeCell ref="H27:Q27"/>
    <mergeCell ref="A29:Q29"/>
    <mergeCell ref="B30:G30"/>
    <mergeCell ref="H30:Q30"/>
    <mergeCell ref="B31:G31"/>
    <mergeCell ref="H31:Q31"/>
    <mergeCell ref="B24:G24"/>
    <mergeCell ref="H24:Q24"/>
    <mergeCell ref="B25:G25"/>
    <mergeCell ref="H25:Q25"/>
    <mergeCell ref="B26:G26"/>
    <mergeCell ref="H26:Q26"/>
    <mergeCell ref="B21:G21"/>
    <mergeCell ref="H21:Q21"/>
    <mergeCell ref="B22:G22"/>
    <mergeCell ref="H22:Q22"/>
    <mergeCell ref="B23:G23"/>
    <mergeCell ref="H23:Q23"/>
    <mergeCell ref="B18:G18"/>
    <mergeCell ref="H18:Q18"/>
    <mergeCell ref="B19:G19"/>
    <mergeCell ref="H19:Q19"/>
    <mergeCell ref="B20:G20"/>
    <mergeCell ref="H20:Q20"/>
    <mergeCell ref="B15:G15"/>
    <mergeCell ref="H15:Q15"/>
    <mergeCell ref="B16:G16"/>
    <mergeCell ref="H16:Q16"/>
    <mergeCell ref="B17:G17"/>
    <mergeCell ref="H17:Q17"/>
    <mergeCell ref="B13:G13"/>
    <mergeCell ref="H13:Q13"/>
    <mergeCell ref="B14:G14"/>
    <mergeCell ref="H14:Q14"/>
    <mergeCell ref="A8:Q8"/>
    <mergeCell ref="B9:G9"/>
    <mergeCell ref="H9:Q9"/>
    <mergeCell ref="B10:G10"/>
    <mergeCell ref="H10:Q10"/>
    <mergeCell ref="B11:G11"/>
    <mergeCell ref="H11:Q11"/>
    <mergeCell ref="A1:C1"/>
    <mergeCell ref="A2:C2"/>
    <mergeCell ref="A3:L3"/>
    <mergeCell ref="A4:C4"/>
    <mergeCell ref="A5:C5"/>
    <mergeCell ref="A7:C7"/>
    <mergeCell ref="L7:Q7"/>
    <mergeCell ref="B12:G12"/>
    <mergeCell ref="H12:Q12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L40"/>
  <sheetViews>
    <sheetView workbookViewId="0">
      <selection activeCell="B1" sqref="B1"/>
    </sheetView>
  </sheetViews>
  <sheetFormatPr defaultRowHeight="15"/>
  <cols>
    <col min="1" max="1" width="1" customWidth="1"/>
    <col min="2" max="2" width="11" customWidth="1"/>
    <col min="3" max="3" width="1" customWidth="1"/>
    <col min="4" max="4" width="19.28515625" customWidth="1"/>
    <col min="5" max="5" width="7" customWidth="1"/>
    <col min="6" max="6" width="13.140625" customWidth="1"/>
    <col min="7" max="7" width="5.140625" customWidth="1"/>
    <col min="8" max="8" width="20.140625" customWidth="1"/>
    <col min="9" max="9" width="6.140625" customWidth="1"/>
    <col min="10" max="10" width="4" customWidth="1"/>
    <col min="11" max="11" width="5" customWidth="1"/>
    <col min="12" max="12" width="3.140625" customWidth="1"/>
  </cols>
  <sheetData>
    <row r="1" spans="1:12" ht="11.85" customHeight="1">
      <c r="J1" s="749" t="s">
        <v>2473</v>
      </c>
      <c r="K1" s="749"/>
      <c r="L1" s="749"/>
    </row>
    <row r="2" spans="1:12" ht="5.85" customHeight="1"/>
    <row r="3" spans="1:12" ht="11.1" customHeight="1">
      <c r="B3" s="837"/>
      <c r="D3" s="837" t="s">
        <v>2474</v>
      </c>
      <c r="E3" s="837"/>
      <c r="F3" s="837"/>
    </row>
    <row r="4" spans="1:12" ht="11.85" customHeight="1">
      <c r="B4" s="837"/>
      <c r="D4" s="837" t="s">
        <v>1836</v>
      </c>
      <c r="E4" s="837"/>
      <c r="F4" s="837"/>
      <c r="G4" s="837"/>
      <c r="H4" s="837"/>
      <c r="I4" s="837"/>
      <c r="J4" s="837"/>
      <c r="K4" s="837"/>
    </row>
    <row r="5" spans="1:12" ht="11.85" customHeight="1">
      <c r="B5" s="837"/>
      <c r="D5" s="987" t="s">
        <v>2475</v>
      </c>
      <c r="E5" s="987"/>
      <c r="F5" s="987"/>
      <c r="G5" s="987"/>
      <c r="H5" s="987"/>
      <c r="I5" s="987"/>
      <c r="J5" s="987"/>
      <c r="K5" s="987"/>
    </row>
    <row r="6" spans="1:12" ht="11.85" customHeight="1">
      <c r="B6" s="837"/>
      <c r="D6" s="837" t="s">
        <v>2476</v>
      </c>
      <c r="E6" s="837"/>
      <c r="F6" s="837"/>
      <c r="G6" s="837"/>
      <c r="H6" s="837"/>
      <c r="I6" s="837"/>
      <c r="J6" s="837"/>
      <c r="K6" s="837"/>
    </row>
    <row r="7" spans="1:12" ht="10.35" customHeight="1">
      <c r="B7" s="837"/>
      <c r="D7" s="837" t="s">
        <v>2477</v>
      </c>
      <c r="E7" s="837"/>
      <c r="F7" s="837"/>
      <c r="G7" s="837"/>
      <c r="H7" s="837"/>
      <c r="I7" s="837"/>
      <c r="J7" s="837"/>
      <c r="K7" s="837"/>
    </row>
    <row r="8" spans="1:12" ht="0.75" customHeight="1">
      <c r="B8" s="837"/>
    </row>
    <row r="9" spans="1:12" ht="11.85" customHeight="1"/>
    <row r="10" spans="1:12" ht="5.85" customHeight="1"/>
    <row r="11" spans="1:12" ht="11.85" customHeight="1">
      <c r="A11" s="988" t="s">
        <v>2478</v>
      </c>
      <c r="B11" s="988"/>
      <c r="C11" s="988"/>
      <c r="D11" s="988"/>
      <c r="E11" s="502"/>
      <c r="F11" s="502"/>
      <c r="G11" s="502"/>
      <c r="H11" s="502"/>
      <c r="I11" s="502"/>
      <c r="J11" s="502"/>
      <c r="K11" s="989" t="s">
        <v>887</v>
      </c>
      <c r="L11" s="989"/>
    </row>
    <row r="12" spans="1:12" ht="11.1" customHeight="1">
      <c r="A12" s="990" t="s">
        <v>890</v>
      </c>
      <c r="B12" s="991"/>
      <c r="C12" s="991"/>
      <c r="D12" s="991"/>
      <c r="E12" s="992"/>
      <c r="F12" s="996" t="s">
        <v>2479</v>
      </c>
      <c r="G12" s="997"/>
      <c r="H12" s="575" t="s">
        <v>2480</v>
      </c>
      <c r="I12" s="996" t="s">
        <v>2481</v>
      </c>
      <c r="J12" s="998"/>
      <c r="K12" s="998"/>
      <c r="L12" s="997"/>
    </row>
    <row r="13" spans="1:12" ht="11.85" customHeight="1">
      <c r="A13" s="993"/>
      <c r="B13" s="994"/>
      <c r="C13" s="994"/>
      <c r="D13" s="994"/>
      <c r="E13" s="995"/>
      <c r="F13" s="999" t="s">
        <v>922</v>
      </c>
      <c r="G13" s="1000"/>
      <c r="H13" s="576" t="s">
        <v>923</v>
      </c>
      <c r="I13" s="999" t="s">
        <v>2482</v>
      </c>
      <c r="J13" s="1001"/>
      <c r="K13" s="1001"/>
      <c r="L13" s="1000"/>
    </row>
    <row r="14" spans="1:12" ht="11.85" customHeight="1">
      <c r="A14" s="1002" t="s">
        <v>2483</v>
      </c>
      <c r="B14" s="1003"/>
      <c r="C14" s="1003"/>
      <c r="D14" s="1003"/>
      <c r="E14" s="1004"/>
      <c r="F14" s="1005" t="s">
        <v>895</v>
      </c>
      <c r="G14" s="1006"/>
      <c r="H14" s="577" t="s">
        <v>895</v>
      </c>
      <c r="I14" s="1005" t="s">
        <v>895</v>
      </c>
      <c r="J14" s="1007"/>
      <c r="K14" s="1007"/>
      <c r="L14" s="1006"/>
    </row>
    <row r="15" spans="1:12" ht="11.85" customHeight="1">
      <c r="A15" s="520"/>
      <c r="B15" s="520"/>
      <c r="C15" s="520"/>
      <c r="D15" s="520"/>
      <c r="E15" s="520"/>
      <c r="F15" s="520"/>
      <c r="G15" s="520"/>
      <c r="H15" s="520"/>
      <c r="I15" s="520"/>
      <c r="J15" s="520"/>
      <c r="K15" s="520"/>
      <c r="L15" s="520"/>
    </row>
    <row r="16" spans="1:12" ht="11.1" customHeight="1">
      <c r="A16" s="990" t="s">
        <v>897</v>
      </c>
      <c r="B16" s="991"/>
      <c r="C16" s="991"/>
      <c r="D16" s="991"/>
      <c r="E16" s="992"/>
      <c r="F16" s="996" t="s">
        <v>2484</v>
      </c>
      <c r="G16" s="997"/>
      <c r="H16" s="575" t="s">
        <v>897</v>
      </c>
      <c r="I16" s="996" t="s">
        <v>2485</v>
      </c>
      <c r="J16" s="998"/>
      <c r="K16" s="998"/>
      <c r="L16" s="997"/>
    </row>
    <row r="17" spans="1:12" ht="11.85" customHeight="1">
      <c r="A17" s="1008"/>
      <c r="B17" s="1009"/>
      <c r="C17" s="1009"/>
      <c r="D17" s="1009"/>
      <c r="E17" s="1010"/>
      <c r="F17" s="1011"/>
      <c r="G17" s="1012"/>
      <c r="H17" s="578" t="s">
        <v>2486</v>
      </c>
      <c r="I17" s="1013"/>
      <c r="J17" s="1014"/>
      <c r="K17" s="1014"/>
      <c r="L17" s="1015"/>
    </row>
    <row r="18" spans="1:12" ht="11.85" customHeight="1">
      <c r="A18" s="993"/>
      <c r="B18" s="994"/>
      <c r="C18" s="994"/>
      <c r="D18" s="994"/>
      <c r="E18" s="995"/>
      <c r="F18" s="999" t="s">
        <v>1323</v>
      </c>
      <c r="G18" s="1000"/>
      <c r="H18" s="576" t="s">
        <v>2487</v>
      </c>
      <c r="I18" s="999" t="s">
        <v>2488</v>
      </c>
      <c r="J18" s="1001"/>
      <c r="K18" s="1001"/>
      <c r="L18" s="1000"/>
    </row>
    <row r="19" spans="1:12" ht="11.85" customHeight="1">
      <c r="A19" s="1002" t="s">
        <v>2489</v>
      </c>
      <c r="B19" s="1003"/>
      <c r="C19" s="1003"/>
      <c r="D19" s="1003"/>
      <c r="E19" s="1004"/>
      <c r="F19" s="1005" t="s">
        <v>2490</v>
      </c>
      <c r="G19" s="1006"/>
      <c r="H19" s="577" t="s">
        <v>2096</v>
      </c>
      <c r="I19" s="1005" t="s">
        <v>2491</v>
      </c>
      <c r="J19" s="1007"/>
      <c r="K19" s="1007"/>
      <c r="L19" s="1006"/>
    </row>
    <row r="20" spans="1:12" ht="11.1" customHeight="1">
      <c r="A20" s="1002" t="s">
        <v>336</v>
      </c>
      <c r="B20" s="1003"/>
      <c r="C20" s="1003"/>
      <c r="D20" s="1003"/>
      <c r="E20" s="1004"/>
      <c r="F20" s="1005" t="s">
        <v>2102</v>
      </c>
      <c r="G20" s="1006"/>
      <c r="H20" s="577" t="s">
        <v>2096</v>
      </c>
      <c r="I20" s="1005" t="s">
        <v>2492</v>
      </c>
      <c r="J20" s="1007"/>
      <c r="K20" s="1007"/>
      <c r="L20" s="1006"/>
    </row>
    <row r="21" spans="1:12" ht="11.85" customHeight="1">
      <c r="A21" s="1002" t="s">
        <v>2104</v>
      </c>
      <c r="B21" s="1003"/>
      <c r="C21" s="1003"/>
      <c r="D21" s="1003"/>
      <c r="E21" s="1004"/>
      <c r="F21" s="1005" t="s">
        <v>2105</v>
      </c>
      <c r="G21" s="1006"/>
      <c r="H21" s="577" t="s">
        <v>895</v>
      </c>
      <c r="I21" s="1005" t="s">
        <v>2105</v>
      </c>
      <c r="J21" s="1007"/>
      <c r="K21" s="1007"/>
      <c r="L21" s="1006"/>
    </row>
    <row r="22" spans="1:12" ht="11.85" customHeight="1">
      <c r="A22" s="1002" t="s">
        <v>340</v>
      </c>
      <c r="B22" s="1003"/>
      <c r="C22" s="1003"/>
      <c r="D22" s="1003"/>
      <c r="E22" s="1004"/>
      <c r="F22" s="1005">
        <v>865.38</v>
      </c>
      <c r="G22" s="1006"/>
      <c r="H22" s="577" t="s">
        <v>895</v>
      </c>
      <c r="I22" s="1005">
        <v>865.38</v>
      </c>
      <c r="J22" s="1007"/>
      <c r="K22" s="1007"/>
      <c r="L22" s="1006"/>
    </row>
    <row r="23" spans="1:12" ht="11.85" customHeight="1">
      <c r="A23" s="1002" t="s">
        <v>2493</v>
      </c>
      <c r="B23" s="1003"/>
      <c r="C23" s="1003"/>
      <c r="D23" s="1003"/>
      <c r="E23" s="1004"/>
      <c r="F23" s="1005" t="s">
        <v>895</v>
      </c>
      <c r="G23" s="1006"/>
      <c r="H23" s="577" t="s">
        <v>895</v>
      </c>
      <c r="I23" s="1005" t="s">
        <v>895</v>
      </c>
      <c r="J23" s="1007"/>
      <c r="K23" s="1007"/>
      <c r="L23" s="1006"/>
    </row>
    <row r="24" spans="1:12" ht="11.1" customHeight="1">
      <c r="A24" s="1002" t="s">
        <v>2494</v>
      </c>
      <c r="B24" s="1003"/>
      <c r="C24" s="1003"/>
      <c r="D24" s="1003"/>
      <c r="E24" s="1004"/>
      <c r="F24" s="1005" t="s">
        <v>895</v>
      </c>
      <c r="G24" s="1006"/>
      <c r="H24" s="577" t="s">
        <v>895</v>
      </c>
      <c r="I24" s="1005" t="s">
        <v>895</v>
      </c>
      <c r="J24" s="1007"/>
      <c r="K24" s="1007"/>
      <c r="L24" s="1006"/>
    </row>
    <row r="25" spans="1:12" ht="11.85" customHeight="1">
      <c r="A25" s="1002" t="s">
        <v>2495</v>
      </c>
      <c r="B25" s="1003"/>
      <c r="C25" s="1003"/>
      <c r="D25" s="1003"/>
      <c r="E25" s="1004"/>
      <c r="F25" s="1005" t="s">
        <v>2490</v>
      </c>
      <c r="G25" s="1006"/>
      <c r="H25" s="577" t="s">
        <v>2096</v>
      </c>
      <c r="I25" s="1005" t="s">
        <v>2491</v>
      </c>
      <c r="J25" s="1007"/>
      <c r="K25" s="1007"/>
      <c r="L25" s="1006"/>
    </row>
    <row r="26" spans="1:12" ht="11.85" customHeight="1">
      <c r="A26" s="520"/>
      <c r="B26" s="520"/>
      <c r="C26" s="520"/>
      <c r="D26" s="520"/>
      <c r="E26" s="520"/>
      <c r="F26" s="520"/>
      <c r="G26" s="520"/>
      <c r="H26" s="520"/>
      <c r="I26" s="520"/>
      <c r="J26" s="520"/>
      <c r="K26" s="520"/>
      <c r="L26" s="520"/>
    </row>
    <row r="27" spans="1:12" ht="11.85" customHeight="1">
      <c r="A27" s="1002" t="s">
        <v>2496</v>
      </c>
      <c r="B27" s="1003"/>
      <c r="C27" s="1003"/>
      <c r="D27" s="1003"/>
      <c r="E27" s="1004"/>
      <c r="F27" s="1005" t="s">
        <v>2490</v>
      </c>
      <c r="G27" s="1006"/>
      <c r="H27" s="577" t="s">
        <v>2096</v>
      </c>
      <c r="I27" s="1005" t="s">
        <v>2491</v>
      </c>
      <c r="J27" s="1007"/>
      <c r="K27" s="1007"/>
      <c r="L27" s="1006"/>
    </row>
    <row r="28" spans="1:12" ht="22.9" customHeight="1">
      <c r="A28" s="1016" t="s">
        <v>2497</v>
      </c>
      <c r="B28" s="1016"/>
      <c r="C28" s="1016"/>
      <c r="D28" s="1016"/>
      <c r="E28" s="1016"/>
      <c r="F28" s="1016"/>
      <c r="G28" s="1016"/>
      <c r="H28" s="1016"/>
      <c r="I28" s="1016"/>
      <c r="J28" s="1016"/>
      <c r="K28" s="1016"/>
      <c r="L28" s="1016"/>
    </row>
    <row r="29" spans="1:12" ht="11.85" customHeight="1"/>
    <row r="30" spans="1:12" ht="11.85" customHeight="1"/>
    <row r="31" spans="1:12" ht="5.85" customHeight="1"/>
    <row r="32" spans="1:12" ht="11.1" customHeight="1"/>
    <row r="33" spans="1:12" ht="11.85" customHeight="1"/>
    <row r="40" spans="1:12" ht="11.85" customHeight="1">
      <c r="A40" s="779" t="s">
        <v>2498</v>
      </c>
      <c r="B40" s="779"/>
      <c r="C40" s="779"/>
      <c r="D40" s="779"/>
      <c r="E40" s="779"/>
      <c r="F40" s="779"/>
      <c r="G40" s="779"/>
      <c r="H40" s="779"/>
      <c r="I40" s="779"/>
      <c r="J40" s="779"/>
      <c r="K40" s="779"/>
      <c r="L40" s="779"/>
    </row>
  </sheetData>
  <mergeCells count="50">
    <mergeCell ref="A28:L28"/>
    <mergeCell ref="A40:L40"/>
    <mergeCell ref="A25:E25"/>
    <mergeCell ref="F25:G25"/>
    <mergeCell ref="I25:L25"/>
    <mergeCell ref="A27:E27"/>
    <mergeCell ref="F27:G27"/>
    <mergeCell ref="I27:L27"/>
    <mergeCell ref="A23:E23"/>
    <mergeCell ref="F23:G23"/>
    <mergeCell ref="I23:L23"/>
    <mergeCell ref="A24:E24"/>
    <mergeCell ref="F24:G24"/>
    <mergeCell ref="I24:L24"/>
    <mergeCell ref="A21:E21"/>
    <mergeCell ref="F21:G21"/>
    <mergeCell ref="I21:L21"/>
    <mergeCell ref="A22:E22"/>
    <mergeCell ref="F22:G22"/>
    <mergeCell ref="I22:L22"/>
    <mergeCell ref="A19:E19"/>
    <mergeCell ref="F19:G19"/>
    <mergeCell ref="I19:L19"/>
    <mergeCell ref="A20:E20"/>
    <mergeCell ref="F20:G20"/>
    <mergeCell ref="I20:L20"/>
    <mergeCell ref="A14:E14"/>
    <mergeCell ref="F14:G14"/>
    <mergeCell ref="I14:L14"/>
    <mergeCell ref="A16:E18"/>
    <mergeCell ref="F16:G16"/>
    <mergeCell ref="I16:L16"/>
    <mergeCell ref="F17:G17"/>
    <mergeCell ref="I17:L17"/>
    <mergeCell ref="F18:G18"/>
    <mergeCell ref="I18:L18"/>
    <mergeCell ref="A11:D11"/>
    <mergeCell ref="K11:L11"/>
    <mergeCell ref="A12:E13"/>
    <mergeCell ref="F12:G12"/>
    <mergeCell ref="I12:L12"/>
    <mergeCell ref="F13:G13"/>
    <mergeCell ref="I13:L13"/>
    <mergeCell ref="J1:L1"/>
    <mergeCell ref="B3:B8"/>
    <mergeCell ref="D3:F3"/>
    <mergeCell ref="D4:K4"/>
    <mergeCell ref="D5:K5"/>
    <mergeCell ref="D6:K6"/>
    <mergeCell ref="D7:K7"/>
  </mergeCells>
  <pageMargins left="0.511811024" right="0.511811024" top="0.78740157499999996" bottom="0.78740157499999996" header="0.31496062000000002" footer="0.31496062000000002"/>
</worksheet>
</file>

<file path=xl/worksheets/sheet22.xml><?xml version="1.0" encoding="utf-8"?>
<worksheet xmlns="http://schemas.openxmlformats.org/spreadsheetml/2006/main" xmlns:r="http://schemas.openxmlformats.org/officeDocument/2006/relationships">
  <dimension ref="A1:IV65536"/>
  <sheetViews>
    <sheetView workbookViewId="0">
      <selection activeCell="A30" sqref="A30:J30"/>
    </sheetView>
  </sheetViews>
  <sheetFormatPr defaultRowHeight="15"/>
  <cols>
    <col min="1" max="2" width="1.7109375" customWidth="1"/>
    <col min="3" max="3" width="32.7109375" customWidth="1"/>
    <col min="4" max="4" width="15.7109375" bestFit="1" customWidth="1"/>
    <col min="5" max="5" width="10" bestFit="1" customWidth="1"/>
    <col min="6" max="6" width="9" bestFit="1" customWidth="1"/>
    <col min="7" max="7" width="7.28515625" bestFit="1" customWidth="1"/>
    <col min="8" max="8" width="18.42578125" bestFit="1" customWidth="1"/>
    <col min="9" max="9" width="13.7109375" bestFit="1" customWidth="1"/>
    <col min="10" max="10" width="9.7109375" bestFit="1" customWidth="1"/>
    <col min="256" max="256" width="85" customWidth="1"/>
  </cols>
  <sheetData>
    <row r="1" spans="1:10">
      <c r="A1" s="698" t="s">
        <v>2499</v>
      </c>
      <c r="B1" s="698"/>
      <c r="C1" s="698"/>
      <c r="D1" s="698"/>
      <c r="E1" s="698"/>
      <c r="F1" s="698"/>
      <c r="G1" s="698"/>
      <c r="H1" s="698"/>
      <c r="I1" s="698"/>
      <c r="J1" s="698"/>
    </row>
    <row r="2" spans="1:10">
      <c r="A2" s="698" t="s">
        <v>1836</v>
      </c>
      <c r="B2" s="698"/>
      <c r="C2" s="698"/>
      <c r="D2" s="698"/>
      <c r="E2" s="698"/>
      <c r="F2" s="698"/>
      <c r="G2" s="698"/>
      <c r="H2" s="698"/>
      <c r="I2" s="698"/>
      <c r="J2" s="698"/>
    </row>
    <row r="3" spans="1:10">
      <c r="A3" s="699" t="s">
        <v>2500</v>
      </c>
      <c r="B3" s="699"/>
      <c r="C3" s="699"/>
      <c r="D3" s="699"/>
      <c r="E3" s="699"/>
      <c r="F3" s="699"/>
      <c r="G3" s="699"/>
      <c r="H3" s="699"/>
      <c r="I3" s="699"/>
      <c r="J3" s="699"/>
    </row>
    <row r="4" spans="1:10">
      <c r="A4" s="698" t="s">
        <v>2476</v>
      </c>
      <c r="B4" s="698"/>
      <c r="C4" s="698"/>
      <c r="D4" s="698"/>
      <c r="E4" s="698"/>
      <c r="F4" s="698"/>
      <c r="G4" s="698"/>
      <c r="H4" s="698"/>
      <c r="I4" s="698"/>
      <c r="J4" s="698"/>
    </row>
    <row r="5" spans="1:10">
      <c r="A5" s="698" t="s">
        <v>2477</v>
      </c>
      <c r="B5" s="698"/>
      <c r="C5" s="698"/>
      <c r="D5" s="698"/>
      <c r="E5" s="698"/>
      <c r="F5" s="698"/>
      <c r="G5" s="698"/>
      <c r="H5" s="698"/>
      <c r="I5" s="698"/>
      <c r="J5" s="698"/>
    </row>
    <row r="6" spans="1:10" ht="15.75" thickBot="1">
      <c r="A6" s="698" t="s">
        <v>2501</v>
      </c>
      <c r="B6" s="698"/>
      <c r="C6" s="698"/>
      <c r="D6" s="698"/>
      <c r="E6" s="698"/>
      <c r="F6" s="698"/>
      <c r="G6" s="698"/>
      <c r="H6" s="698"/>
      <c r="I6" s="698"/>
      <c r="J6" s="469" t="s">
        <v>887</v>
      </c>
    </row>
    <row r="7" spans="1:10">
      <c r="A7" s="1017" t="s">
        <v>890</v>
      </c>
      <c r="B7" s="1018"/>
      <c r="C7" s="1018"/>
      <c r="D7" s="464" t="s">
        <v>2479</v>
      </c>
      <c r="E7" s="653" t="s">
        <v>2480</v>
      </c>
      <c r="F7" s="653"/>
      <c r="G7" s="653"/>
      <c r="H7" s="653"/>
      <c r="I7" s="653"/>
      <c r="J7" s="465" t="s">
        <v>1315</v>
      </c>
    </row>
    <row r="8" spans="1:10" ht="15.75" thickBot="1">
      <c r="A8" s="1019"/>
      <c r="B8" s="1020"/>
      <c r="C8" s="1021"/>
      <c r="D8" s="470" t="s">
        <v>922</v>
      </c>
      <c r="E8" s="662" t="s">
        <v>923</v>
      </c>
      <c r="F8" s="662"/>
      <c r="G8" s="662"/>
      <c r="H8" s="662"/>
      <c r="I8" s="662"/>
      <c r="J8" s="471" t="s">
        <v>1322</v>
      </c>
    </row>
    <row r="9" spans="1:10">
      <c r="A9" s="664" t="s">
        <v>2502</v>
      </c>
      <c r="B9" s="664"/>
      <c r="C9" s="665"/>
      <c r="D9" s="550">
        <v>0</v>
      </c>
      <c r="E9" s="1022">
        <v>0</v>
      </c>
      <c r="F9" s="1022"/>
      <c r="G9" s="1022"/>
      <c r="H9" s="1022"/>
      <c r="I9" s="1022"/>
      <c r="J9" s="551">
        <v>0</v>
      </c>
    </row>
    <row r="10" spans="1:10">
      <c r="C10" s="467" t="s">
        <v>2503</v>
      </c>
      <c r="D10" s="553">
        <v>0</v>
      </c>
      <c r="E10" s="1023">
        <v>0</v>
      </c>
      <c r="F10" s="1023"/>
      <c r="G10" s="1023"/>
      <c r="H10" s="1023"/>
      <c r="I10" s="1023"/>
      <c r="J10" s="554">
        <v>0</v>
      </c>
    </row>
    <row r="11" spans="1:10">
      <c r="C11" s="467" t="s">
        <v>2504</v>
      </c>
      <c r="D11" s="553">
        <v>0</v>
      </c>
      <c r="E11" s="1023">
        <v>0</v>
      </c>
      <c r="F11" s="1023"/>
      <c r="G11" s="1023"/>
      <c r="H11" s="1023"/>
      <c r="I11" s="1023"/>
      <c r="J11" s="554">
        <v>0</v>
      </c>
    </row>
    <row r="12" spans="1:10">
      <c r="C12" s="467" t="s">
        <v>2505</v>
      </c>
      <c r="D12" s="553">
        <v>0</v>
      </c>
      <c r="E12" s="1023">
        <v>0</v>
      </c>
      <c r="F12" s="1023"/>
      <c r="G12" s="1023"/>
      <c r="H12" s="1023"/>
      <c r="I12" s="1023"/>
      <c r="J12" s="554">
        <v>0</v>
      </c>
    </row>
    <row r="13" spans="1:10" ht="15.75" thickBot="1">
      <c r="A13" s="579"/>
      <c r="B13" s="579"/>
      <c r="C13" s="580" t="s">
        <v>2506</v>
      </c>
      <c r="D13" s="581">
        <v>0</v>
      </c>
      <c r="E13" s="1024">
        <v>0</v>
      </c>
      <c r="F13" s="1024"/>
      <c r="G13" s="1024"/>
      <c r="H13" s="1024"/>
      <c r="I13" s="1024"/>
      <c r="J13" s="582">
        <v>0</v>
      </c>
    </row>
    <row r="14" spans="1:10" ht="15.75" thickBot="1"/>
    <row r="15" spans="1:10">
      <c r="A15" s="1017" t="s">
        <v>897</v>
      </c>
      <c r="B15" s="1018"/>
      <c r="C15" s="1018"/>
      <c r="D15" s="464" t="s">
        <v>2484</v>
      </c>
      <c r="E15" s="464" t="s">
        <v>897</v>
      </c>
      <c r="F15" s="464" t="s">
        <v>897</v>
      </c>
      <c r="G15" s="464" t="s">
        <v>897</v>
      </c>
      <c r="H15" s="464" t="s">
        <v>897</v>
      </c>
      <c r="I15" s="464" t="s">
        <v>2507</v>
      </c>
      <c r="J15" s="465" t="s">
        <v>1315</v>
      </c>
    </row>
    <row r="16" spans="1:10">
      <c r="A16" s="1025"/>
      <c r="B16" s="1021"/>
      <c r="C16" s="1021"/>
      <c r="D16" s="470"/>
      <c r="E16" s="470" t="s">
        <v>2486</v>
      </c>
      <c r="F16" s="470" t="s">
        <v>2508</v>
      </c>
      <c r="G16" s="470" t="s">
        <v>2509</v>
      </c>
      <c r="H16" s="470" t="s">
        <v>2510</v>
      </c>
      <c r="I16" s="470" t="s">
        <v>2511</v>
      </c>
      <c r="J16" s="471"/>
    </row>
    <row r="17" spans="1:10">
      <c r="A17" s="1025"/>
      <c r="B17" s="1021"/>
      <c r="C17" s="1021"/>
      <c r="D17" s="470"/>
      <c r="E17" s="470"/>
      <c r="F17" s="470"/>
      <c r="G17" s="470"/>
      <c r="H17" s="470" t="s">
        <v>2512</v>
      </c>
      <c r="I17" s="470"/>
      <c r="J17" s="471"/>
    </row>
    <row r="18" spans="1:10" ht="15.75" thickBot="1">
      <c r="A18" s="1019"/>
      <c r="B18" s="1020"/>
      <c r="C18" s="1021"/>
      <c r="D18" s="470" t="s">
        <v>1323</v>
      </c>
      <c r="E18" s="470" t="s">
        <v>2487</v>
      </c>
      <c r="F18" s="470"/>
      <c r="G18" s="470" t="s">
        <v>2199</v>
      </c>
      <c r="H18" s="470"/>
      <c r="I18" s="470" t="s">
        <v>2200</v>
      </c>
      <c r="J18" s="471" t="s">
        <v>2513</v>
      </c>
    </row>
    <row r="19" spans="1:10">
      <c r="A19" s="473" t="s">
        <v>2514</v>
      </c>
      <c r="C19" s="583"/>
      <c r="D19" s="550">
        <v>0</v>
      </c>
      <c r="E19" s="550">
        <v>0</v>
      </c>
      <c r="F19" s="550">
        <v>0</v>
      </c>
      <c r="G19" s="550">
        <v>0</v>
      </c>
      <c r="H19" s="550">
        <v>0</v>
      </c>
      <c r="I19" s="550">
        <v>0</v>
      </c>
      <c r="J19" s="551">
        <v>0</v>
      </c>
    </row>
    <row r="20" spans="1:10">
      <c r="A20" s="681" t="s">
        <v>2515</v>
      </c>
      <c r="B20" s="681"/>
      <c r="C20" s="669"/>
      <c r="D20" s="553">
        <v>0</v>
      </c>
      <c r="E20" s="553">
        <v>0</v>
      </c>
      <c r="F20" s="553">
        <v>0</v>
      </c>
      <c r="G20" s="553">
        <v>0</v>
      </c>
      <c r="H20" s="553">
        <v>0</v>
      </c>
      <c r="I20" s="553">
        <v>0</v>
      </c>
      <c r="J20" s="554">
        <v>0</v>
      </c>
    </row>
    <row r="21" spans="1:10">
      <c r="B21" s="681" t="s">
        <v>336</v>
      </c>
      <c r="C21" s="669"/>
      <c r="D21" s="553">
        <v>0</v>
      </c>
      <c r="E21" s="553">
        <v>0</v>
      </c>
      <c r="F21" s="553">
        <v>0</v>
      </c>
      <c r="G21" s="553">
        <v>0</v>
      </c>
      <c r="H21" s="553">
        <v>0</v>
      </c>
      <c r="I21" s="553">
        <v>0</v>
      </c>
      <c r="J21" s="554">
        <v>0</v>
      </c>
    </row>
    <row r="22" spans="1:10">
      <c r="B22" s="681" t="s">
        <v>2104</v>
      </c>
      <c r="C22" s="669"/>
      <c r="D22" s="553">
        <v>0</v>
      </c>
      <c r="E22" s="553">
        <v>0</v>
      </c>
      <c r="F22" s="553">
        <v>0</v>
      </c>
      <c r="G22" s="553">
        <v>0</v>
      </c>
      <c r="H22" s="553">
        <v>0</v>
      </c>
      <c r="I22" s="553">
        <v>0</v>
      </c>
      <c r="J22" s="554">
        <v>0</v>
      </c>
    </row>
    <row r="23" spans="1:10">
      <c r="B23" s="681" t="s">
        <v>340</v>
      </c>
      <c r="C23" s="669"/>
      <c r="D23" s="553">
        <v>0</v>
      </c>
      <c r="E23" s="553">
        <v>0</v>
      </c>
      <c r="F23" s="553">
        <v>0</v>
      </c>
      <c r="G23" s="553">
        <v>0</v>
      </c>
      <c r="H23" s="553">
        <v>0</v>
      </c>
      <c r="I23" s="553">
        <v>0</v>
      </c>
      <c r="J23" s="554">
        <v>0</v>
      </c>
    </row>
    <row r="24" spans="1:10">
      <c r="A24" s="681" t="s">
        <v>2516</v>
      </c>
      <c r="B24" s="681"/>
      <c r="C24" s="669"/>
      <c r="D24" s="553">
        <v>0</v>
      </c>
      <c r="E24" s="553">
        <v>0</v>
      </c>
      <c r="F24" s="553">
        <v>0</v>
      </c>
      <c r="G24" s="553">
        <v>0</v>
      </c>
      <c r="H24" s="553">
        <v>0</v>
      </c>
      <c r="I24" s="553">
        <v>0</v>
      </c>
      <c r="J24" s="554">
        <v>0</v>
      </c>
    </row>
    <row r="25" spans="1:10" ht="15.75" thickBot="1">
      <c r="A25" s="579"/>
      <c r="B25" s="1030" t="s">
        <v>2517</v>
      </c>
      <c r="C25" s="1026"/>
      <c r="D25" s="581">
        <v>0</v>
      </c>
      <c r="E25" s="581">
        <v>0</v>
      </c>
      <c r="F25" s="581">
        <v>0</v>
      </c>
      <c r="G25" s="581">
        <v>0</v>
      </c>
      <c r="H25" s="581">
        <v>0</v>
      </c>
      <c r="I25" s="581">
        <v>0</v>
      </c>
      <c r="J25" s="582">
        <v>0</v>
      </c>
    </row>
    <row r="26" spans="1:10" ht="15.75" thickBot="1"/>
    <row r="27" spans="1:10">
      <c r="A27" s="1017" t="s">
        <v>2518</v>
      </c>
      <c r="B27" s="1018"/>
      <c r="C27" s="1018"/>
      <c r="D27" s="584">
        <v>2020</v>
      </c>
      <c r="E27" s="1031">
        <v>2021</v>
      </c>
      <c r="F27" s="1031"/>
      <c r="G27" s="1031"/>
      <c r="H27" s="1031"/>
      <c r="I27" s="1031"/>
      <c r="J27" s="465" t="s">
        <v>1927</v>
      </c>
    </row>
    <row r="28" spans="1:10" ht="15.75" thickBot="1">
      <c r="A28" s="1019"/>
      <c r="B28" s="1020"/>
      <c r="C28" s="1020"/>
      <c r="D28" s="474" t="s">
        <v>2202</v>
      </c>
      <c r="E28" s="683" t="s">
        <v>2519</v>
      </c>
      <c r="F28" s="683"/>
      <c r="G28" s="683"/>
      <c r="H28" s="683"/>
      <c r="I28" s="683"/>
      <c r="J28" s="475" t="s">
        <v>2520</v>
      </c>
    </row>
    <row r="29" spans="1:10" ht="15.75" thickBot="1">
      <c r="A29" s="1026" t="s">
        <v>2521</v>
      </c>
      <c r="B29" s="1027"/>
      <c r="C29" s="1027"/>
      <c r="D29" s="585"/>
      <c r="E29" s="1028">
        <v>0</v>
      </c>
      <c r="F29" s="1028"/>
      <c r="G29" s="1028"/>
      <c r="H29" s="1028"/>
      <c r="I29" s="1028"/>
      <c r="J29" s="582">
        <v>0</v>
      </c>
    </row>
    <row r="30" spans="1:10">
      <c r="A30" s="1029"/>
      <c r="B30" s="1029"/>
      <c r="C30" s="1029"/>
      <c r="D30" s="1029"/>
      <c r="E30" s="1029"/>
      <c r="F30" s="1029"/>
      <c r="G30" s="1029"/>
      <c r="H30" s="1029"/>
      <c r="I30" s="1029"/>
      <c r="J30" s="1029"/>
    </row>
    <row r="65536" spans="256:256" ht="15" customHeight="1">
      <c r="IV65536" s="586"/>
    </row>
  </sheetData>
  <mergeCells count="28">
    <mergeCell ref="A29:C29"/>
    <mergeCell ref="E29:I29"/>
    <mergeCell ref="A30:J30"/>
    <mergeCell ref="B22:C22"/>
    <mergeCell ref="B23:C23"/>
    <mergeCell ref="A24:C24"/>
    <mergeCell ref="B25:C25"/>
    <mergeCell ref="A27:C28"/>
    <mergeCell ref="E27:I27"/>
    <mergeCell ref="E28:I28"/>
    <mergeCell ref="B21:C21"/>
    <mergeCell ref="A7:C8"/>
    <mergeCell ref="E7:I7"/>
    <mergeCell ref="E8:I8"/>
    <mergeCell ref="A9:C9"/>
    <mergeCell ref="E9:I9"/>
    <mergeCell ref="E10:I10"/>
    <mergeCell ref="E11:I11"/>
    <mergeCell ref="E12:I12"/>
    <mergeCell ref="E13:I13"/>
    <mergeCell ref="A15:C18"/>
    <mergeCell ref="A20:C20"/>
    <mergeCell ref="A6:I6"/>
    <mergeCell ref="A1:J1"/>
    <mergeCell ref="A2:J2"/>
    <mergeCell ref="A3:J3"/>
    <mergeCell ref="A4:J4"/>
    <mergeCell ref="A5:J5"/>
  </mergeCells>
  <pageMargins left="0.511811024" right="0.511811024" top="0.78740157499999996" bottom="0.78740157499999996" header="0.31496062000000002" footer="0.31496062000000002"/>
</worksheet>
</file>

<file path=xl/worksheets/sheet23.xml><?xml version="1.0" encoding="utf-8"?>
<worksheet xmlns="http://schemas.openxmlformats.org/spreadsheetml/2006/main" xmlns:r="http://schemas.openxmlformats.org/officeDocument/2006/relationships">
  <dimension ref="A1:AH215"/>
  <sheetViews>
    <sheetView workbookViewId="0">
      <selection sqref="A1:G1"/>
    </sheetView>
  </sheetViews>
  <sheetFormatPr defaultRowHeight="15"/>
  <cols>
    <col min="1" max="1" width="5" customWidth="1"/>
    <col min="2" max="3" width="11.140625" customWidth="1"/>
    <col min="4" max="4" width="11" customWidth="1"/>
    <col min="5" max="5" width="8.140625" customWidth="1"/>
    <col min="6" max="6" width="3.140625" customWidth="1"/>
    <col min="7" max="7" width="10.140625" customWidth="1"/>
    <col min="8" max="8" width="0.85546875" customWidth="1"/>
    <col min="9" max="9" width="1" customWidth="1"/>
    <col min="10" max="10" width="7" customWidth="1"/>
    <col min="11" max="11" width="1" customWidth="1"/>
    <col min="12" max="12" width="3.140625" customWidth="1"/>
    <col min="13" max="13" width="2" customWidth="1"/>
    <col min="14" max="14" width="1" customWidth="1"/>
    <col min="15" max="15" width="8.140625" customWidth="1"/>
    <col min="16" max="16" width="0.85546875" customWidth="1"/>
    <col min="17" max="17" width="3.140625" customWidth="1"/>
    <col min="18" max="18" width="2" customWidth="1"/>
    <col min="19" max="19" width="5" customWidth="1"/>
    <col min="20" max="20" width="4.140625" customWidth="1"/>
    <col min="21" max="21" width="1" customWidth="1"/>
    <col min="22" max="22" width="4" customWidth="1"/>
    <col min="23" max="24" width="1" customWidth="1"/>
    <col min="25" max="25" width="4" customWidth="1"/>
    <col min="26" max="27" width="1" customWidth="1"/>
    <col min="28" max="28" width="5" customWidth="1"/>
    <col min="29" max="29" width="2" customWidth="1"/>
    <col min="30" max="30" width="4.140625" customWidth="1"/>
    <col min="31" max="31" width="1" customWidth="1"/>
    <col min="32" max="32" width="4" customWidth="1"/>
    <col min="33" max="33" width="11.140625" customWidth="1"/>
    <col min="34" max="34" width="0.5703125" customWidth="1"/>
  </cols>
  <sheetData>
    <row r="1" spans="1:34" ht="11.85" customHeight="1">
      <c r="A1" s="740" t="s">
        <v>1405</v>
      </c>
      <c r="B1" s="740"/>
      <c r="C1" s="740"/>
      <c r="D1" s="740"/>
      <c r="E1" s="740"/>
      <c r="F1" s="740"/>
      <c r="G1" s="740"/>
      <c r="AG1" s="512" t="s">
        <v>1835</v>
      </c>
    </row>
    <row r="2" spans="1:34" ht="11.1" customHeight="1">
      <c r="A2" s="740" t="s">
        <v>882</v>
      </c>
      <c r="B2" s="740"/>
      <c r="C2" s="740"/>
      <c r="D2" s="740"/>
      <c r="E2" s="740"/>
      <c r="F2" s="740"/>
      <c r="G2" s="740"/>
    </row>
    <row r="3" spans="1:34" ht="11.85" customHeight="1">
      <c r="A3" s="742" t="s">
        <v>2522</v>
      </c>
      <c r="B3" s="742"/>
      <c r="C3" s="742"/>
      <c r="D3" s="742"/>
      <c r="E3" s="742"/>
      <c r="F3" s="742"/>
      <c r="G3" s="742"/>
    </row>
    <row r="4" spans="1:34" ht="11.85" customHeight="1">
      <c r="A4" s="740" t="s">
        <v>1310</v>
      </c>
      <c r="B4" s="740"/>
      <c r="C4" s="740"/>
      <c r="D4" s="740"/>
      <c r="E4" s="740"/>
      <c r="F4" s="740"/>
      <c r="G4" s="740"/>
    </row>
    <row r="5" spans="1:34" ht="11.85" customHeight="1">
      <c r="A5" s="740" t="s">
        <v>885</v>
      </c>
      <c r="B5" s="740"/>
      <c r="C5" s="740"/>
      <c r="D5" s="740"/>
      <c r="E5" s="740"/>
      <c r="F5" s="740"/>
      <c r="G5" s="740"/>
    </row>
    <row r="6" spans="1:34" ht="5.85" customHeight="1"/>
    <row r="7" spans="1:34" ht="11.1" customHeight="1">
      <c r="A7" s="810" t="s">
        <v>2523</v>
      </c>
      <c r="B7" s="810"/>
      <c r="C7" s="810"/>
      <c r="D7" s="810"/>
      <c r="E7" s="810"/>
      <c r="F7" s="810"/>
      <c r="G7" s="810"/>
      <c r="H7" s="502"/>
      <c r="I7" s="502"/>
      <c r="J7" s="502"/>
      <c r="K7" s="502"/>
      <c r="L7" s="502"/>
      <c r="M7" s="502"/>
      <c r="N7" s="502"/>
      <c r="O7" s="502"/>
      <c r="P7" s="502"/>
      <c r="Q7" s="502"/>
      <c r="R7" s="502"/>
      <c r="S7" s="502"/>
      <c r="T7" s="502"/>
      <c r="U7" s="502"/>
      <c r="V7" s="502"/>
      <c r="W7" s="502"/>
      <c r="X7" s="502"/>
      <c r="Y7" s="502"/>
      <c r="Z7" s="502"/>
      <c r="AA7" s="502"/>
      <c r="AB7" s="502"/>
      <c r="AC7" s="502"/>
      <c r="AD7" s="502"/>
      <c r="AE7" s="502"/>
      <c r="AF7" s="502"/>
      <c r="AG7" s="502"/>
      <c r="AH7" s="502"/>
    </row>
    <row r="8" spans="1:34" ht="11.85" customHeight="1">
      <c r="A8" s="1032" t="s">
        <v>2524</v>
      </c>
      <c r="B8" s="1033"/>
      <c r="C8" s="1033"/>
      <c r="D8" s="1033"/>
      <c r="E8" s="1033"/>
      <c r="F8" s="1033"/>
      <c r="G8" s="1033"/>
      <c r="H8" s="1033"/>
      <c r="I8" s="1034"/>
      <c r="J8" s="757" t="s">
        <v>2525</v>
      </c>
      <c r="K8" s="1038"/>
      <c r="L8" s="1038"/>
      <c r="M8" s="1038"/>
      <c r="N8" s="1038"/>
      <c r="O8" s="1038"/>
      <c r="P8" s="1039"/>
      <c r="Q8" s="757" t="s">
        <v>1950</v>
      </c>
      <c r="R8" s="1038"/>
      <c r="S8" s="1038"/>
      <c r="T8" s="1038"/>
      <c r="U8" s="1038"/>
      <c r="V8" s="1038"/>
      <c r="W8" s="1039"/>
      <c r="X8" s="751" t="s">
        <v>2480</v>
      </c>
      <c r="Y8" s="1043"/>
      <c r="Z8" s="1043"/>
      <c r="AA8" s="1043"/>
      <c r="AB8" s="1043"/>
      <c r="AC8" s="1043"/>
      <c r="AD8" s="1043"/>
      <c r="AE8" s="1043"/>
      <c r="AF8" s="1043"/>
      <c r="AG8" s="1043"/>
      <c r="AH8" s="1044"/>
    </row>
    <row r="9" spans="1:34" ht="17.850000000000001" customHeight="1">
      <c r="A9" s="1035"/>
      <c r="B9" s="1036"/>
      <c r="C9" s="1036"/>
      <c r="D9" s="1036"/>
      <c r="E9" s="1036"/>
      <c r="F9" s="1036"/>
      <c r="G9" s="1036"/>
      <c r="H9" s="1036"/>
      <c r="I9" s="1037"/>
      <c r="J9" s="1040"/>
      <c r="K9" s="1041"/>
      <c r="L9" s="1041"/>
      <c r="M9" s="1041"/>
      <c r="N9" s="1041"/>
      <c r="O9" s="1041"/>
      <c r="P9" s="1042"/>
      <c r="Q9" s="1040"/>
      <c r="R9" s="1041"/>
      <c r="S9" s="1041"/>
      <c r="T9" s="1041"/>
      <c r="U9" s="1041"/>
      <c r="V9" s="1041"/>
      <c r="W9" s="1042"/>
      <c r="X9" s="757" t="s">
        <v>2526</v>
      </c>
      <c r="Y9" s="758"/>
      <c r="Z9" s="758"/>
      <c r="AA9" s="758"/>
      <c r="AB9" s="758"/>
      <c r="AC9" s="758"/>
      <c r="AD9" s="759"/>
      <c r="AE9" s="757" t="s">
        <v>2527</v>
      </c>
      <c r="AF9" s="758"/>
      <c r="AG9" s="758"/>
      <c r="AH9" s="759"/>
    </row>
    <row r="10" spans="1:34" ht="11.1" customHeight="1">
      <c r="A10" s="1045" t="s">
        <v>2528</v>
      </c>
      <c r="B10" s="1046"/>
      <c r="C10" s="1046"/>
      <c r="D10" s="1046"/>
      <c r="E10" s="1046"/>
      <c r="F10" s="1046"/>
      <c r="G10" s="1046"/>
      <c r="H10" s="1046"/>
      <c r="I10" s="1047"/>
      <c r="J10" s="1048" t="s">
        <v>2217</v>
      </c>
      <c r="K10" s="1049"/>
      <c r="L10" s="1049"/>
      <c r="M10" s="1049"/>
      <c r="N10" s="1049"/>
      <c r="O10" s="1049"/>
      <c r="P10" s="1050"/>
      <c r="Q10" s="1048" t="s">
        <v>2217</v>
      </c>
      <c r="R10" s="1049"/>
      <c r="S10" s="1049"/>
      <c r="T10" s="1049"/>
      <c r="U10" s="1049"/>
      <c r="V10" s="1049"/>
      <c r="W10" s="1050"/>
      <c r="X10" s="1048" t="s">
        <v>2218</v>
      </c>
      <c r="Y10" s="1049"/>
      <c r="Z10" s="1049"/>
      <c r="AA10" s="1049"/>
      <c r="AB10" s="1049"/>
      <c r="AC10" s="1049"/>
      <c r="AD10" s="1050"/>
      <c r="AE10" s="1048" t="s">
        <v>2529</v>
      </c>
      <c r="AF10" s="1049"/>
      <c r="AG10" s="1049"/>
      <c r="AH10" s="1050"/>
    </row>
    <row r="11" spans="1:34" ht="11.85" customHeight="1">
      <c r="A11" s="1051" t="s">
        <v>2530</v>
      </c>
      <c r="B11" s="1052"/>
      <c r="C11" s="1052"/>
      <c r="D11" s="1052"/>
      <c r="E11" s="1052"/>
      <c r="F11" s="1052"/>
      <c r="G11" s="1052"/>
      <c r="H11" s="1052"/>
      <c r="I11" s="1053"/>
      <c r="J11" s="1054" t="s">
        <v>1463</v>
      </c>
      <c r="K11" s="1055"/>
      <c r="L11" s="1055"/>
      <c r="M11" s="1055"/>
      <c r="N11" s="1055"/>
      <c r="O11" s="1055"/>
      <c r="P11" s="1056"/>
      <c r="Q11" s="1054" t="s">
        <v>1463</v>
      </c>
      <c r="R11" s="1055"/>
      <c r="S11" s="1055"/>
      <c r="T11" s="1055"/>
      <c r="U11" s="1055"/>
      <c r="V11" s="1055"/>
      <c r="W11" s="1056"/>
      <c r="X11" s="1054" t="s">
        <v>1993</v>
      </c>
      <c r="Y11" s="1055"/>
      <c r="Z11" s="1055"/>
      <c r="AA11" s="1055"/>
      <c r="AB11" s="1055"/>
      <c r="AC11" s="1055"/>
      <c r="AD11" s="1056"/>
      <c r="AE11" s="1054" t="s">
        <v>2531</v>
      </c>
      <c r="AF11" s="1055"/>
      <c r="AG11" s="1055"/>
      <c r="AH11" s="1056"/>
    </row>
    <row r="12" spans="1:34" ht="11.85" customHeight="1">
      <c r="A12" s="1057" t="s">
        <v>215</v>
      </c>
      <c r="B12" s="1058"/>
      <c r="C12" s="1058"/>
      <c r="D12" s="1058"/>
      <c r="E12" s="1058"/>
      <c r="F12" s="1058"/>
      <c r="G12" s="1058"/>
      <c r="H12" s="1058"/>
      <c r="I12" s="1059"/>
      <c r="J12" s="1054" t="s">
        <v>2532</v>
      </c>
      <c r="K12" s="1055"/>
      <c r="L12" s="1055"/>
      <c r="M12" s="1055"/>
      <c r="N12" s="1055"/>
      <c r="O12" s="1055"/>
      <c r="P12" s="1056"/>
      <c r="Q12" s="1054" t="s">
        <v>2532</v>
      </c>
      <c r="R12" s="1055"/>
      <c r="S12" s="1055"/>
      <c r="T12" s="1055"/>
      <c r="U12" s="1055"/>
      <c r="V12" s="1055"/>
      <c r="W12" s="1056"/>
      <c r="X12" s="1054" t="s">
        <v>2533</v>
      </c>
      <c r="Y12" s="1055"/>
      <c r="Z12" s="1055"/>
      <c r="AA12" s="1055"/>
      <c r="AB12" s="1055"/>
      <c r="AC12" s="1055"/>
      <c r="AD12" s="1056"/>
      <c r="AE12" s="1054" t="s">
        <v>2534</v>
      </c>
      <c r="AF12" s="1055"/>
      <c r="AG12" s="1055"/>
      <c r="AH12" s="1056"/>
    </row>
    <row r="13" spans="1:34" ht="11.85" customHeight="1">
      <c r="A13" s="1057" t="s">
        <v>2535</v>
      </c>
      <c r="B13" s="1058"/>
      <c r="C13" s="1058"/>
      <c r="D13" s="1058"/>
      <c r="E13" s="1058"/>
      <c r="F13" s="1058"/>
      <c r="G13" s="1058"/>
      <c r="H13" s="1058"/>
      <c r="I13" s="1059"/>
      <c r="J13" s="1054" t="s">
        <v>2536</v>
      </c>
      <c r="K13" s="1055"/>
      <c r="L13" s="1055"/>
      <c r="M13" s="1055"/>
      <c r="N13" s="1055"/>
      <c r="O13" s="1055"/>
      <c r="P13" s="1056"/>
      <c r="Q13" s="1054" t="s">
        <v>2536</v>
      </c>
      <c r="R13" s="1055"/>
      <c r="S13" s="1055"/>
      <c r="T13" s="1055"/>
      <c r="U13" s="1055"/>
      <c r="V13" s="1055"/>
      <c r="W13" s="1056"/>
      <c r="X13" s="1054" t="s">
        <v>2537</v>
      </c>
      <c r="Y13" s="1055"/>
      <c r="Z13" s="1055"/>
      <c r="AA13" s="1055"/>
      <c r="AB13" s="1055"/>
      <c r="AC13" s="1055"/>
      <c r="AD13" s="1056"/>
      <c r="AE13" s="1054" t="s">
        <v>2538</v>
      </c>
      <c r="AF13" s="1055"/>
      <c r="AG13" s="1055"/>
      <c r="AH13" s="1056"/>
    </row>
    <row r="14" spans="1:34" ht="11.1" customHeight="1">
      <c r="A14" s="1051" t="s">
        <v>2539</v>
      </c>
      <c r="B14" s="1052"/>
      <c r="C14" s="1052"/>
      <c r="D14" s="1052"/>
      <c r="E14" s="1052"/>
      <c r="F14" s="1052"/>
      <c r="G14" s="1052"/>
      <c r="H14" s="1052"/>
      <c r="I14" s="1053"/>
      <c r="J14" s="1054" t="s">
        <v>1492</v>
      </c>
      <c r="K14" s="1055"/>
      <c r="L14" s="1055"/>
      <c r="M14" s="1055"/>
      <c r="N14" s="1055"/>
      <c r="O14" s="1055"/>
      <c r="P14" s="1056"/>
      <c r="Q14" s="1054" t="s">
        <v>1492</v>
      </c>
      <c r="R14" s="1055"/>
      <c r="S14" s="1055"/>
      <c r="T14" s="1055"/>
      <c r="U14" s="1055"/>
      <c r="V14" s="1055"/>
      <c r="W14" s="1056"/>
      <c r="X14" s="1054" t="s">
        <v>1995</v>
      </c>
      <c r="Y14" s="1055"/>
      <c r="Z14" s="1055"/>
      <c r="AA14" s="1055"/>
      <c r="AB14" s="1055"/>
      <c r="AC14" s="1055"/>
      <c r="AD14" s="1056"/>
      <c r="AE14" s="1054" t="s">
        <v>2540</v>
      </c>
      <c r="AF14" s="1055"/>
      <c r="AG14" s="1055"/>
      <c r="AH14" s="1056"/>
    </row>
    <row r="15" spans="1:34" ht="11.85" customHeight="1">
      <c r="A15" s="1057" t="s">
        <v>217</v>
      </c>
      <c r="B15" s="1058"/>
      <c r="C15" s="1058"/>
      <c r="D15" s="1058"/>
      <c r="E15" s="1058"/>
      <c r="F15" s="1058"/>
      <c r="G15" s="1058"/>
      <c r="H15" s="1058"/>
      <c r="I15" s="1059"/>
      <c r="J15" s="1054" t="s">
        <v>2541</v>
      </c>
      <c r="K15" s="1055"/>
      <c r="L15" s="1055"/>
      <c r="M15" s="1055"/>
      <c r="N15" s="1055"/>
      <c r="O15" s="1055"/>
      <c r="P15" s="1056"/>
      <c r="Q15" s="1054" t="s">
        <v>2541</v>
      </c>
      <c r="R15" s="1055"/>
      <c r="S15" s="1055"/>
      <c r="T15" s="1055"/>
      <c r="U15" s="1055"/>
      <c r="V15" s="1055"/>
      <c r="W15" s="1056"/>
      <c r="X15" s="1054" t="s">
        <v>1995</v>
      </c>
      <c r="Y15" s="1055"/>
      <c r="Z15" s="1055"/>
      <c r="AA15" s="1055"/>
      <c r="AB15" s="1055"/>
      <c r="AC15" s="1055"/>
      <c r="AD15" s="1056"/>
      <c r="AE15" s="1054" t="s">
        <v>2542</v>
      </c>
      <c r="AF15" s="1055"/>
      <c r="AG15" s="1055"/>
      <c r="AH15" s="1056"/>
    </row>
    <row r="16" spans="1:34" ht="11.85" customHeight="1">
      <c r="A16" s="1057" t="s">
        <v>2543</v>
      </c>
      <c r="B16" s="1058"/>
      <c r="C16" s="1058"/>
      <c r="D16" s="1058"/>
      <c r="E16" s="1058"/>
      <c r="F16" s="1058"/>
      <c r="G16" s="1058"/>
      <c r="H16" s="1058"/>
      <c r="I16" s="1059"/>
      <c r="J16" s="1054" t="s">
        <v>2544</v>
      </c>
      <c r="K16" s="1055"/>
      <c r="L16" s="1055"/>
      <c r="M16" s="1055"/>
      <c r="N16" s="1055"/>
      <c r="O16" s="1055"/>
      <c r="P16" s="1056"/>
      <c r="Q16" s="1054" t="s">
        <v>2544</v>
      </c>
      <c r="R16" s="1055"/>
      <c r="S16" s="1055"/>
      <c r="T16" s="1055"/>
      <c r="U16" s="1055"/>
      <c r="V16" s="1055"/>
      <c r="W16" s="1056"/>
      <c r="X16" s="1054" t="s">
        <v>895</v>
      </c>
      <c r="Y16" s="1055"/>
      <c r="Z16" s="1055"/>
      <c r="AA16" s="1055"/>
      <c r="AB16" s="1055"/>
      <c r="AC16" s="1055"/>
      <c r="AD16" s="1056"/>
      <c r="AE16" s="1054" t="s">
        <v>895</v>
      </c>
      <c r="AF16" s="1055"/>
      <c r="AG16" s="1055"/>
      <c r="AH16" s="1056"/>
    </row>
    <row r="17" spans="1:34" ht="11.85" customHeight="1">
      <c r="A17" s="1051" t="s">
        <v>2545</v>
      </c>
      <c r="B17" s="1052"/>
      <c r="C17" s="1052"/>
      <c r="D17" s="1052"/>
      <c r="E17" s="1052"/>
      <c r="F17" s="1052"/>
      <c r="G17" s="1052"/>
      <c r="H17" s="1052"/>
      <c r="I17" s="1053"/>
      <c r="J17" s="1054" t="s">
        <v>1478</v>
      </c>
      <c r="K17" s="1055"/>
      <c r="L17" s="1055"/>
      <c r="M17" s="1055"/>
      <c r="N17" s="1055"/>
      <c r="O17" s="1055"/>
      <c r="P17" s="1056"/>
      <c r="Q17" s="1054" t="s">
        <v>1478</v>
      </c>
      <c r="R17" s="1055"/>
      <c r="S17" s="1055"/>
      <c r="T17" s="1055"/>
      <c r="U17" s="1055"/>
      <c r="V17" s="1055"/>
      <c r="W17" s="1056"/>
      <c r="X17" s="1054" t="s">
        <v>1994</v>
      </c>
      <c r="Y17" s="1055"/>
      <c r="Z17" s="1055"/>
      <c r="AA17" s="1055"/>
      <c r="AB17" s="1055"/>
      <c r="AC17" s="1055"/>
      <c r="AD17" s="1056"/>
      <c r="AE17" s="1054" t="s">
        <v>2546</v>
      </c>
      <c r="AF17" s="1055"/>
      <c r="AG17" s="1055"/>
      <c r="AH17" s="1056"/>
    </row>
    <row r="18" spans="1:34" ht="11.1" customHeight="1">
      <c r="A18" s="1057" t="s">
        <v>1470</v>
      </c>
      <c r="B18" s="1058"/>
      <c r="C18" s="1058"/>
      <c r="D18" s="1058"/>
      <c r="E18" s="1058"/>
      <c r="F18" s="1058"/>
      <c r="G18" s="1058"/>
      <c r="H18" s="1058"/>
      <c r="I18" s="1059"/>
      <c r="J18" s="1054" t="s">
        <v>2547</v>
      </c>
      <c r="K18" s="1055"/>
      <c r="L18" s="1055"/>
      <c r="M18" s="1055"/>
      <c r="N18" s="1055"/>
      <c r="O18" s="1055"/>
      <c r="P18" s="1056"/>
      <c r="Q18" s="1054" t="s">
        <v>2547</v>
      </c>
      <c r="R18" s="1055"/>
      <c r="S18" s="1055"/>
      <c r="T18" s="1055"/>
      <c r="U18" s="1055"/>
      <c r="V18" s="1055"/>
      <c r="W18" s="1056"/>
      <c r="X18" s="1054" t="s">
        <v>2548</v>
      </c>
      <c r="Y18" s="1055"/>
      <c r="Z18" s="1055"/>
      <c r="AA18" s="1055"/>
      <c r="AB18" s="1055"/>
      <c r="AC18" s="1055"/>
      <c r="AD18" s="1056"/>
      <c r="AE18" s="1054" t="s">
        <v>2549</v>
      </c>
      <c r="AF18" s="1055"/>
      <c r="AG18" s="1055"/>
      <c r="AH18" s="1056"/>
    </row>
    <row r="19" spans="1:34" ht="11.85" customHeight="1">
      <c r="A19" s="1057" t="s">
        <v>2550</v>
      </c>
      <c r="B19" s="1058"/>
      <c r="C19" s="1058"/>
      <c r="D19" s="1058"/>
      <c r="E19" s="1058"/>
      <c r="F19" s="1058"/>
      <c r="G19" s="1058"/>
      <c r="H19" s="1058"/>
      <c r="I19" s="1059"/>
      <c r="J19" s="1054" t="s">
        <v>2551</v>
      </c>
      <c r="K19" s="1055"/>
      <c r="L19" s="1055"/>
      <c r="M19" s="1055"/>
      <c r="N19" s="1055"/>
      <c r="O19" s="1055"/>
      <c r="P19" s="1056"/>
      <c r="Q19" s="1054" t="s">
        <v>2551</v>
      </c>
      <c r="R19" s="1055"/>
      <c r="S19" s="1055"/>
      <c r="T19" s="1055"/>
      <c r="U19" s="1055"/>
      <c r="V19" s="1055"/>
      <c r="W19" s="1056"/>
      <c r="X19" s="1054" t="s">
        <v>2552</v>
      </c>
      <c r="Y19" s="1055"/>
      <c r="Z19" s="1055"/>
      <c r="AA19" s="1055"/>
      <c r="AB19" s="1055"/>
      <c r="AC19" s="1055"/>
      <c r="AD19" s="1056"/>
      <c r="AE19" s="1054" t="s">
        <v>2553</v>
      </c>
      <c r="AF19" s="1055"/>
      <c r="AG19" s="1055"/>
      <c r="AH19" s="1056"/>
    </row>
    <row r="20" spans="1:34" ht="11.85" customHeight="1">
      <c r="A20" s="1051" t="s">
        <v>2554</v>
      </c>
      <c r="B20" s="1052"/>
      <c r="C20" s="1052"/>
      <c r="D20" s="1052"/>
      <c r="E20" s="1052"/>
      <c r="F20" s="1052"/>
      <c r="G20" s="1052"/>
      <c r="H20" s="1052"/>
      <c r="I20" s="1053"/>
      <c r="J20" s="1054" t="s">
        <v>1506</v>
      </c>
      <c r="K20" s="1055"/>
      <c r="L20" s="1055"/>
      <c r="M20" s="1055"/>
      <c r="N20" s="1055"/>
      <c r="O20" s="1055"/>
      <c r="P20" s="1056"/>
      <c r="Q20" s="1054" t="s">
        <v>1506</v>
      </c>
      <c r="R20" s="1055"/>
      <c r="S20" s="1055"/>
      <c r="T20" s="1055"/>
      <c r="U20" s="1055"/>
      <c r="V20" s="1055"/>
      <c r="W20" s="1056"/>
      <c r="X20" s="1054" t="s">
        <v>1996</v>
      </c>
      <c r="Y20" s="1055"/>
      <c r="Z20" s="1055"/>
      <c r="AA20" s="1055"/>
      <c r="AB20" s="1055"/>
      <c r="AC20" s="1055"/>
      <c r="AD20" s="1056"/>
      <c r="AE20" s="1054" t="s">
        <v>2555</v>
      </c>
      <c r="AF20" s="1055"/>
      <c r="AG20" s="1055"/>
      <c r="AH20" s="1056"/>
    </row>
    <row r="21" spans="1:34" ht="11.85" customHeight="1">
      <c r="A21" s="1051" t="s">
        <v>2556</v>
      </c>
      <c r="B21" s="1052"/>
      <c r="C21" s="1052"/>
      <c r="D21" s="1052"/>
      <c r="E21" s="1052"/>
      <c r="F21" s="1052"/>
      <c r="G21" s="1052"/>
      <c r="H21" s="1052"/>
      <c r="I21" s="1053"/>
      <c r="J21" s="1054" t="s">
        <v>2557</v>
      </c>
      <c r="K21" s="1055"/>
      <c r="L21" s="1055"/>
      <c r="M21" s="1055"/>
      <c r="N21" s="1055"/>
      <c r="O21" s="1055"/>
      <c r="P21" s="1056"/>
      <c r="Q21" s="1054" t="s">
        <v>2557</v>
      </c>
      <c r="R21" s="1055"/>
      <c r="S21" s="1055"/>
      <c r="T21" s="1055"/>
      <c r="U21" s="1055"/>
      <c r="V21" s="1055"/>
      <c r="W21" s="1056"/>
      <c r="X21" s="1054" t="s">
        <v>2558</v>
      </c>
      <c r="Y21" s="1055"/>
      <c r="Z21" s="1055"/>
      <c r="AA21" s="1055"/>
      <c r="AB21" s="1055"/>
      <c r="AC21" s="1055"/>
      <c r="AD21" s="1056"/>
      <c r="AE21" s="1054" t="s">
        <v>2559</v>
      </c>
      <c r="AF21" s="1055"/>
      <c r="AG21" s="1055"/>
      <c r="AH21" s="1056"/>
    </row>
    <row r="22" spans="1:34" ht="11.1" customHeight="1">
      <c r="A22" s="1057" t="s">
        <v>2560</v>
      </c>
      <c r="B22" s="1058"/>
      <c r="C22" s="1058"/>
      <c r="D22" s="1058"/>
      <c r="E22" s="1058"/>
      <c r="F22" s="1058"/>
      <c r="G22" s="1058"/>
      <c r="H22" s="1058"/>
      <c r="I22" s="1059"/>
      <c r="J22" s="1054" t="s">
        <v>2229</v>
      </c>
      <c r="K22" s="1055"/>
      <c r="L22" s="1055"/>
      <c r="M22" s="1055"/>
      <c r="N22" s="1055"/>
      <c r="O22" s="1055"/>
      <c r="P22" s="1056"/>
      <c r="Q22" s="1054" t="s">
        <v>2229</v>
      </c>
      <c r="R22" s="1055"/>
      <c r="S22" s="1055"/>
      <c r="T22" s="1055"/>
      <c r="U22" s="1055"/>
      <c r="V22" s="1055"/>
      <c r="W22" s="1056"/>
      <c r="X22" s="1054" t="s">
        <v>2230</v>
      </c>
      <c r="Y22" s="1055"/>
      <c r="Z22" s="1055"/>
      <c r="AA22" s="1055"/>
      <c r="AB22" s="1055"/>
      <c r="AC22" s="1055"/>
      <c r="AD22" s="1056"/>
      <c r="AE22" s="1054" t="s">
        <v>2561</v>
      </c>
      <c r="AF22" s="1055"/>
      <c r="AG22" s="1055"/>
      <c r="AH22" s="1056"/>
    </row>
    <row r="23" spans="1:34" ht="11.85" customHeight="1">
      <c r="A23" s="1057" t="s">
        <v>2562</v>
      </c>
      <c r="B23" s="1058"/>
      <c r="C23" s="1058"/>
      <c r="D23" s="1058"/>
      <c r="E23" s="1058"/>
      <c r="F23" s="1058"/>
      <c r="G23" s="1058"/>
      <c r="H23" s="1058"/>
      <c r="I23" s="1059"/>
      <c r="J23" s="1054" t="s">
        <v>1687</v>
      </c>
      <c r="K23" s="1055"/>
      <c r="L23" s="1055"/>
      <c r="M23" s="1055"/>
      <c r="N23" s="1055"/>
      <c r="O23" s="1055"/>
      <c r="P23" s="1056"/>
      <c r="Q23" s="1054" t="s">
        <v>1687</v>
      </c>
      <c r="R23" s="1055"/>
      <c r="S23" s="1055"/>
      <c r="T23" s="1055"/>
      <c r="U23" s="1055"/>
      <c r="V23" s="1055"/>
      <c r="W23" s="1056"/>
      <c r="X23" s="1054" t="s">
        <v>2239</v>
      </c>
      <c r="Y23" s="1055"/>
      <c r="Z23" s="1055"/>
      <c r="AA23" s="1055"/>
      <c r="AB23" s="1055"/>
      <c r="AC23" s="1055"/>
      <c r="AD23" s="1056"/>
      <c r="AE23" s="1054" t="s">
        <v>2563</v>
      </c>
      <c r="AF23" s="1055"/>
      <c r="AG23" s="1055"/>
      <c r="AH23" s="1056"/>
    </row>
    <row r="24" spans="1:34" ht="11.85" customHeight="1">
      <c r="A24" s="1057" t="s">
        <v>2564</v>
      </c>
      <c r="B24" s="1058"/>
      <c r="C24" s="1058"/>
      <c r="D24" s="1058"/>
      <c r="E24" s="1058"/>
      <c r="F24" s="1058"/>
      <c r="G24" s="1058"/>
      <c r="H24" s="1058"/>
      <c r="I24" s="1059"/>
      <c r="J24" s="1054" t="s">
        <v>1670</v>
      </c>
      <c r="K24" s="1055"/>
      <c r="L24" s="1055"/>
      <c r="M24" s="1055"/>
      <c r="N24" s="1055"/>
      <c r="O24" s="1055"/>
      <c r="P24" s="1056"/>
      <c r="Q24" s="1054" t="s">
        <v>1670</v>
      </c>
      <c r="R24" s="1055"/>
      <c r="S24" s="1055"/>
      <c r="T24" s="1055"/>
      <c r="U24" s="1055"/>
      <c r="V24" s="1055"/>
      <c r="W24" s="1056"/>
      <c r="X24" s="1054" t="s">
        <v>2241</v>
      </c>
      <c r="Y24" s="1055"/>
      <c r="Z24" s="1055"/>
      <c r="AA24" s="1055"/>
      <c r="AB24" s="1055"/>
      <c r="AC24" s="1055"/>
      <c r="AD24" s="1056"/>
      <c r="AE24" s="1054" t="s">
        <v>2565</v>
      </c>
      <c r="AF24" s="1055"/>
      <c r="AG24" s="1055"/>
      <c r="AH24" s="1056"/>
    </row>
    <row r="25" spans="1:34" ht="11.85" customHeight="1">
      <c r="A25" s="1057" t="s">
        <v>2566</v>
      </c>
      <c r="B25" s="1058"/>
      <c r="C25" s="1058"/>
      <c r="D25" s="1058"/>
      <c r="E25" s="1058"/>
      <c r="F25" s="1058"/>
      <c r="G25" s="1058"/>
      <c r="H25" s="1058"/>
      <c r="I25" s="1059"/>
      <c r="J25" s="1054" t="s">
        <v>1655</v>
      </c>
      <c r="K25" s="1055"/>
      <c r="L25" s="1055"/>
      <c r="M25" s="1055"/>
      <c r="N25" s="1055"/>
      <c r="O25" s="1055"/>
      <c r="P25" s="1056"/>
      <c r="Q25" s="1054" t="s">
        <v>1655</v>
      </c>
      <c r="R25" s="1055"/>
      <c r="S25" s="1055"/>
      <c r="T25" s="1055"/>
      <c r="U25" s="1055"/>
      <c r="V25" s="1055"/>
      <c r="W25" s="1056"/>
      <c r="X25" s="1054" t="s">
        <v>2235</v>
      </c>
      <c r="Y25" s="1055"/>
      <c r="Z25" s="1055"/>
      <c r="AA25" s="1055"/>
      <c r="AB25" s="1055"/>
      <c r="AC25" s="1055"/>
      <c r="AD25" s="1056"/>
      <c r="AE25" s="1054" t="s">
        <v>2567</v>
      </c>
      <c r="AF25" s="1055"/>
      <c r="AG25" s="1055"/>
      <c r="AH25" s="1056"/>
    </row>
    <row r="26" spans="1:34" ht="11.1" customHeight="1">
      <c r="A26" s="1057" t="s">
        <v>2568</v>
      </c>
      <c r="B26" s="1058"/>
      <c r="C26" s="1058"/>
      <c r="D26" s="1058"/>
      <c r="E26" s="1058"/>
      <c r="F26" s="1058"/>
      <c r="G26" s="1058"/>
      <c r="H26" s="1058"/>
      <c r="I26" s="1059"/>
      <c r="J26" s="1054" t="s">
        <v>1705</v>
      </c>
      <c r="K26" s="1055"/>
      <c r="L26" s="1055"/>
      <c r="M26" s="1055"/>
      <c r="N26" s="1055"/>
      <c r="O26" s="1055"/>
      <c r="P26" s="1056"/>
      <c r="Q26" s="1054" t="s">
        <v>1705</v>
      </c>
      <c r="R26" s="1055"/>
      <c r="S26" s="1055"/>
      <c r="T26" s="1055"/>
      <c r="U26" s="1055"/>
      <c r="V26" s="1055"/>
      <c r="W26" s="1056"/>
      <c r="X26" s="1054" t="s">
        <v>2237</v>
      </c>
      <c r="Y26" s="1055"/>
      <c r="Z26" s="1055"/>
      <c r="AA26" s="1055"/>
      <c r="AB26" s="1055"/>
      <c r="AC26" s="1055"/>
      <c r="AD26" s="1056"/>
      <c r="AE26" s="1054" t="s">
        <v>2569</v>
      </c>
      <c r="AF26" s="1055"/>
      <c r="AG26" s="1055"/>
      <c r="AH26" s="1056"/>
    </row>
    <row r="27" spans="1:34" ht="11.85" customHeight="1">
      <c r="A27" s="1057" t="s">
        <v>2570</v>
      </c>
      <c r="B27" s="1058"/>
      <c r="C27" s="1058"/>
      <c r="D27" s="1058"/>
      <c r="E27" s="1058"/>
      <c r="F27" s="1058"/>
      <c r="G27" s="1058"/>
      <c r="H27" s="1058"/>
      <c r="I27" s="1059"/>
      <c r="J27" s="1054" t="s">
        <v>1696</v>
      </c>
      <c r="K27" s="1055"/>
      <c r="L27" s="1055"/>
      <c r="M27" s="1055"/>
      <c r="N27" s="1055"/>
      <c r="O27" s="1055"/>
      <c r="P27" s="1056"/>
      <c r="Q27" s="1054" t="s">
        <v>1696</v>
      </c>
      <c r="R27" s="1055"/>
      <c r="S27" s="1055"/>
      <c r="T27" s="1055"/>
      <c r="U27" s="1055"/>
      <c r="V27" s="1055"/>
      <c r="W27" s="1056"/>
      <c r="X27" s="1054" t="s">
        <v>895</v>
      </c>
      <c r="Y27" s="1055"/>
      <c r="Z27" s="1055"/>
      <c r="AA27" s="1055"/>
      <c r="AB27" s="1055"/>
      <c r="AC27" s="1055"/>
      <c r="AD27" s="1056"/>
      <c r="AE27" s="1054" t="s">
        <v>895</v>
      </c>
      <c r="AF27" s="1055"/>
      <c r="AG27" s="1055"/>
      <c r="AH27" s="1056"/>
    </row>
    <row r="28" spans="1:34" ht="11.85" customHeight="1">
      <c r="A28" s="1057" t="s">
        <v>2571</v>
      </c>
      <c r="B28" s="1058"/>
      <c r="C28" s="1058"/>
      <c r="D28" s="1058"/>
      <c r="E28" s="1058"/>
      <c r="F28" s="1058"/>
      <c r="G28" s="1058"/>
      <c r="H28" s="1058"/>
      <c r="I28" s="1059"/>
      <c r="J28" s="1054" t="s">
        <v>1696</v>
      </c>
      <c r="K28" s="1055"/>
      <c r="L28" s="1055"/>
      <c r="M28" s="1055"/>
      <c r="N28" s="1055"/>
      <c r="O28" s="1055"/>
      <c r="P28" s="1056"/>
      <c r="Q28" s="1054" t="s">
        <v>1696</v>
      </c>
      <c r="R28" s="1055"/>
      <c r="S28" s="1055"/>
      <c r="T28" s="1055"/>
      <c r="U28" s="1055"/>
      <c r="V28" s="1055"/>
      <c r="W28" s="1056"/>
      <c r="X28" s="1054" t="s">
        <v>895</v>
      </c>
      <c r="Y28" s="1055"/>
      <c r="Z28" s="1055"/>
      <c r="AA28" s="1055"/>
      <c r="AB28" s="1055"/>
      <c r="AC28" s="1055"/>
      <c r="AD28" s="1056"/>
      <c r="AE28" s="1054" t="s">
        <v>895</v>
      </c>
      <c r="AF28" s="1055"/>
      <c r="AG28" s="1055"/>
      <c r="AH28" s="1056"/>
    </row>
    <row r="29" spans="1:34" ht="11.85" customHeight="1">
      <c r="A29" s="1066" t="s">
        <v>2572</v>
      </c>
      <c r="B29" s="1067"/>
      <c r="C29" s="1067"/>
      <c r="D29" s="1067"/>
      <c r="E29" s="1067"/>
      <c r="F29" s="1067"/>
      <c r="G29" s="1067"/>
      <c r="H29" s="1067"/>
      <c r="I29" s="1068"/>
      <c r="J29" s="1069" t="s">
        <v>895</v>
      </c>
      <c r="K29" s="1070"/>
      <c r="L29" s="1070"/>
      <c r="M29" s="1070"/>
      <c r="N29" s="1070"/>
      <c r="O29" s="1070"/>
      <c r="P29" s="1071"/>
      <c r="Q29" s="1069" t="s">
        <v>895</v>
      </c>
      <c r="R29" s="1070"/>
      <c r="S29" s="1070"/>
      <c r="T29" s="1070"/>
      <c r="U29" s="1070"/>
      <c r="V29" s="1070"/>
      <c r="W29" s="1071"/>
      <c r="X29" s="1069" t="s">
        <v>895</v>
      </c>
      <c r="Y29" s="1070"/>
      <c r="Z29" s="1070"/>
      <c r="AA29" s="1070"/>
      <c r="AB29" s="1070"/>
      <c r="AC29" s="1070"/>
      <c r="AD29" s="1071"/>
      <c r="AE29" s="1069" t="s">
        <v>895</v>
      </c>
      <c r="AF29" s="1070"/>
      <c r="AG29" s="1070"/>
      <c r="AH29" s="1071"/>
    </row>
    <row r="30" spans="1:34" ht="11.1" customHeight="1">
      <c r="A30" s="1060" t="s">
        <v>2573</v>
      </c>
      <c r="B30" s="1061"/>
      <c r="C30" s="1061"/>
      <c r="D30" s="1061"/>
      <c r="E30" s="1061"/>
      <c r="F30" s="1061"/>
      <c r="G30" s="1061"/>
      <c r="H30" s="1061"/>
      <c r="I30" s="1062"/>
      <c r="J30" s="1063" t="s">
        <v>2574</v>
      </c>
      <c r="K30" s="1064"/>
      <c r="L30" s="1064"/>
      <c r="M30" s="1064"/>
      <c r="N30" s="1064"/>
      <c r="O30" s="1064"/>
      <c r="P30" s="1065"/>
      <c r="Q30" s="1063" t="s">
        <v>2574</v>
      </c>
      <c r="R30" s="1064"/>
      <c r="S30" s="1064"/>
      <c r="T30" s="1064"/>
      <c r="U30" s="1064"/>
      <c r="V30" s="1064"/>
      <c r="W30" s="1065"/>
      <c r="X30" s="1063" t="s">
        <v>2575</v>
      </c>
      <c r="Y30" s="1064"/>
      <c r="Z30" s="1064"/>
      <c r="AA30" s="1064"/>
      <c r="AB30" s="1064"/>
      <c r="AC30" s="1064"/>
      <c r="AD30" s="1065"/>
      <c r="AE30" s="1063" t="s">
        <v>2576</v>
      </c>
      <c r="AF30" s="1064"/>
      <c r="AG30" s="1064"/>
      <c r="AH30" s="1065"/>
    </row>
    <row r="31" spans="1:34" ht="11.85" customHeight="1">
      <c r="A31" s="838"/>
      <c r="B31" s="838"/>
      <c r="C31" s="838"/>
      <c r="D31" s="838"/>
      <c r="E31" s="838"/>
      <c r="F31" s="838"/>
      <c r="G31" s="838"/>
      <c r="H31" s="838"/>
      <c r="I31" s="838"/>
      <c r="J31" s="838"/>
      <c r="K31" s="838"/>
      <c r="L31" s="838"/>
      <c r="M31" s="838"/>
      <c r="N31" s="838"/>
      <c r="O31" s="838"/>
      <c r="P31" s="838"/>
      <c r="Q31" s="838"/>
      <c r="R31" s="838"/>
      <c r="S31" s="838"/>
      <c r="T31" s="838"/>
      <c r="U31" s="838"/>
      <c r="V31" s="838"/>
      <c r="W31" s="838"/>
      <c r="X31" s="838"/>
      <c r="Y31" s="838"/>
      <c r="Z31" s="838"/>
      <c r="AA31" s="838"/>
      <c r="AB31" s="838"/>
      <c r="AC31" s="838"/>
      <c r="AD31" s="838"/>
      <c r="AE31" s="838"/>
      <c r="AF31" s="838"/>
      <c r="AG31" s="838"/>
      <c r="AH31" s="838"/>
    </row>
    <row r="32" spans="1:34" ht="11.85" customHeight="1">
      <c r="A32" s="1075" t="s">
        <v>2577</v>
      </c>
      <c r="B32" s="1076"/>
      <c r="C32" s="1076"/>
      <c r="D32" s="1076"/>
      <c r="E32" s="1077"/>
      <c r="F32" s="757" t="s">
        <v>2578</v>
      </c>
      <c r="G32" s="1039"/>
      <c r="H32" s="757" t="s">
        <v>1889</v>
      </c>
      <c r="I32" s="1038"/>
      <c r="J32" s="1038"/>
      <c r="K32" s="1038"/>
      <c r="L32" s="1039"/>
      <c r="M32" s="751" t="s">
        <v>2579</v>
      </c>
      <c r="N32" s="1043"/>
      <c r="O32" s="1043"/>
      <c r="P32" s="1043"/>
      <c r="Q32" s="1043"/>
      <c r="R32" s="1043"/>
      <c r="S32" s="1044"/>
      <c r="T32" s="751" t="s">
        <v>2580</v>
      </c>
      <c r="U32" s="1043"/>
      <c r="V32" s="1043"/>
      <c r="W32" s="1043"/>
      <c r="X32" s="1043"/>
      <c r="Y32" s="1043"/>
      <c r="Z32" s="1043"/>
      <c r="AA32" s="1043"/>
      <c r="AB32" s="1044"/>
      <c r="AC32" s="751" t="s">
        <v>2581</v>
      </c>
      <c r="AD32" s="1043"/>
      <c r="AE32" s="1043"/>
      <c r="AF32" s="1043"/>
      <c r="AG32" s="1043"/>
      <c r="AH32" s="1044"/>
    </row>
    <row r="33" spans="1:34" ht="17.850000000000001" customHeight="1">
      <c r="A33" s="1078"/>
      <c r="B33" s="1079"/>
      <c r="C33" s="1079"/>
      <c r="D33" s="1079"/>
      <c r="E33" s="1080"/>
      <c r="F33" s="1040"/>
      <c r="G33" s="1042"/>
      <c r="H33" s="1040"/>
      <c r="I33" s="1041"/>
      <c r="J33" s="1041"/>
      <c r="K33" s="1041"/>
      <c r="L33" s="1042"/>
      <c r="M33" s="757" t="s">
        <v>2582</v>
      </c>
      <c r="N33" s="758"/>
      <c r="O33" s="759"/>
      <c r="P33" s="757" t="s">
        <v>2583</v>
      </c>
      <c r="Q33" s="758"/>
      <c r="R33" s="758"/>
      <c r="S33" s="759"/>
      <c r="T33" s="757" t="s">
        <v>2584</v>
      </c>
      <c r="U33" s="758"/>
      <c r="V33" s="758"/>
      <c r="W33" s="758"/>
      <c r="X33" s="759"/>
      <c r="Y33" s="757" t="s">
        <v>2585</v>
      </c>
      <c r="Z33" s="758"/>
      <c r="AA33" s="758"/>
      <c r="AB33" s="759"/>
      <c r="AC33" s="757" t="s">
        <v>2586</v>
      </c>
      <c r="AD33" s="758"/>
      <c r="AE33" s="758"/>
      <c r="AF33" s="759"/>
      <c r="AG33" s="757" t="s">
        <v>2587</v>
      </c>
      <c r="AH33" s="759"/>
    </row>
    <row r="34" spans="1:34" ht="11.1" customHeight="1">
      <c r="A34" s="1072" t="s">
        <v>2588</v>
      </c>
      <c r="B34" s="1073"/>
      <c r="C34" s="1073"/>
      <c r="D34" s="1073"/>
      <c r="E34" s="1074"/>
      <c r="F34" s="1048" t="s">
        <v>2589</v>
      </c>
      <c r="G34" s="1050"/>
      <c r="H34" s="1048" t="s">
        <v>2590</v>
      </c>
      <c r="I34" s="1049"/>
      <c r="J34" s="1049"/>
      <c r="K34" s="1049"/>
      <c r="L34" s="1050"/>
      <c r="M34" s="1048" t="s">
        <v>2591</v>
      </c>
      <c r="N34" s="1049"/>
      <c r="O34" s="1050"/>
      <c r="P34" s="1048" t="s">
        <v>2592</v>
      </c>
      <c r="Q34" s="1049"/>
      <c r="R34" s="1049"/>
      <c r="S34" s="1050"/>
      <c r="T34" s="1048" t="s">
        <v>2593</v>
      </c>
      <c r="U34" s="1049"/>
      <c r="V34" s="1049"/>
      <c r="W34" s="1049"/>
      <c r="X34" s="1050"/>
      <c r="Y34" s="1048" t="s">
        <v>2594</v>
      </c>
      <c r="Z34" s="1049"/>
      <c r="AA34" s="1049"/>
      <c r="AB34" s="1050"/>
      <c r="AC34" s="1048" t="s">
        <v>2595</v>
      </c>
      <c r="AD34" s="1049"/>
      <c r="AE34" s="1049"/>
      <c r="AF34" s="1050"/>
      <c r="AG34" s="1048" t="s">
        <v>2596</v>
      </c>
      <c r="AH34" s="1050"/>
    </row>
    <row r="35" spans="1:34" ht="11.85" customHeight="1">
      <c r="A35" s="1057" t="s">
        <v>2597</v>
      </c>
      <c r="B35" s="1058"/>
      <c r="C35" s="1058"/>
      <c r="D35" s="1058"/>
      <c r="E35" s="1059"/>
      <c r="F35" s="1054" t="s">
        <v>2589</v>
      </c>
      <c r="G35" s="1056"/>
      <c r="H35" s="1054" t="s">
        <v>2590</v>
      </c>
      <c r="I35" s="1055"/>
      <c r="J35" s="1055"/>
      <c r="K35" s="1055"/>
      <c r="L35" s="1056"/>
      <c r="M35" s="1054" t="s">
        <v>2591</v>
      </c>
      <c r="N35" s="1055"/>
      <c r="O35" s="1056"/>
      <c r="P35" s="1054" t="s">
        <v>2592</v>
      </c>
      <c r="Q35" s="1055"/>
      <c r="R35" s="1055"/>
      <c r="S35" s="1056"/>
      <c r="T35" s="1054" t="s">
        <v>2593</v>
      </c>
      <c r="U35" s="1055"/>
      <c r="V35" s="1055"/>
      <c r="W35" s="1055"/>
      <c r="X35" s="1056"/>
      <c r="Y35" s="1054" t="s">
        <v>2594</v>
      </c>
      <c r="Z35" s="1055"/>
      <c r="AA35" s="1055"/>
      <c r="AB35" s="1056"/>
      <c r="AC35" s="1054" t="s">
        <v>2595</v>
      </c>
      <c r="AD35" s="1055"/>
      <c r="AE35" s="1055"/>
      <c r="AF35" s="1056"/>
      <c r="AG35" s="1054" t="s">
        <v>2596</v>
      </c>
      <c r="AH35" s="1056"/>
    </row>
    <row r="36" spans="1:34" ht="11.85" customHeight="1">
      <c r="A36" s="1057" t="s">
        <v>2515</v>
      </c>
      <c r="B36" s="1058"/>
      <c r="C36" s="1058"/>
      <c r="D36" s="1058"/>
      <c r="E36" s="1059"/>
      <c r="F36" s="1054" t="s">
        <v>895</v>
      </c>
      <c r="G36" s="1056"/>
      <c r="H36" s="1054" t="s">
        <v>895</v>
      </c>
      <c r="I36" s="1055"/>
      <c r="J36" s="1055"/>
      <c r="K36" s="1055"/>
      <c r="L36" s="1056"/>
      <c r="M36" s="1054" t="s">
        <v>895</v>
      </c>
      <c r="N36" s="1055"/>
      <c r="O36" s="1056"/>
      <c r="P36" s="1054" t="s">
        <v>895</v>
      </c>
      <c r="Q36" s="1055"/>
      <c r="R36" s="1055"/>
      <c r="S36" s="1056"/>
      <c r="T36" s="1054" t="s">
        <v>895</v>
      </c>
      <c r="U36" s="1055"/>
      <c r="V36" s="1055"/>
      <c r="W36" s="1055"/>
      <c r="X36" s="1056"/>
      <c r="Y36" s="1054" t="s">
        <v>895</v>
      </c>
      <c r="Z36" s="1055"/>
      <c r="AA36" s="1055"/>
      <c r="AB36" s="1056"/>
      <c r="AC36" s="1054" t="s">
        <v>895</v>
      </c>
      <c r="AD36" s="1055"/>
      <c r="AE36" s="1055"/>
      <c r="AF36" s="1056"/>
      <c r="AG36" s="1054" t="s">
        <v>895</v>
      </c>
      <c r="AH36" s="1056"/>
    </row>
    <row r="37" spans="1:34" ht="11.85" customHeight="1">
      <c r="A37" s="1057" t="s">
        <v>2598</v>
      </c>
      <c r="B37" s="1058"/>
      <c r="C37" s="1058"/>
      <c r="D37" s="1058"/>
      <c r="E37" s="1059"/>
      <c r="F37" s="1054" t="s">
        <v>2599</v>
      </c>
      <c r="G37" s="1056"/>
      <c r="H37" s="1054" t="s">
        <v>2600</v>
      </c>
      <c r="I37" s="1055"/>
      <c r="J37" s="1055"/>
      <c r="K37" s="1055"/>
      <c r="L37" s="1056"/>
      <c r="M37" s="1054" t="s">
        <v>2601</v>
      </c>
      <c r="N37" s="1055"/>
      <c r="O37" s="1056"/>
      <c r="P37" s="1054" t="s">
        <v>2602</v>
      </c>
      <c r="Q37" s="1055"/>
      <c r="R37" s="1055"/>
      <c r="S37" s="1056"/>
      <c r="T37" s="1054" t="s">
        <v>2603</v>
      </c>
      <c r="U37" s="1055"/>
      <c r="V37" s="1055"/>
      <c r="W37" s="1055"/>
      <c r="X37" s="1056"/>
      <c r="Y37" s="1054" t="s">
        <v>2604</v>
      </c>
      <c r="Z37" s="1055"/>
      <c r="AA37" s="1055"/>
      <c r="AB37" s="1056"/>
      <c r="AC37" s="1054" t="s">
        <v>2605</v>
      </c>
      <c r="AD37" s="1055"/>
      <c r="AE37" s="1055"/>
      <c r="AF37" s="1056"/>
      <c r="AG37" s="1054" t="s">
        <v>2606</v>
      </c>
      <c r="AH37" s="1056"/>
    </row>
    <row r="38" spans="1:34" ht="11.1" customHeight="1">
      <c r="A38" s="1057" t="s">
        <v>2597</v>
      </c>
      <c r="B38" s="1058"/>
      <c r="C38" s="1058"/>
      <c r="D38" s="1058"/>
      <c r="E38" s="1059"/>
      <c r="F38" s="1054" t="s">
        <v>2607</v>
      </c>
      <c r="G38" s="1056"/>
      <c r="H38" s="1054" t="s">
        <v>2608</v>
      </c>
      <c r="I38" s="1055"/>
      <c r="J38" s="1055"/>
      <c r="K38" s="1055"/>
      <c r="L38" s="1056"/>
      <c r="M38" s="1054" t="s">
        <v>2609</v>
      </c>
      <c r="N38" s="1055"/>
      <c r="O38" s="1056"/>
      <c r="P38" s="1054" t="s">
        <v>2610</v>
      </c>
      <c r="Q38" s="1055"/>
      <c r="R38" s="1055"/>
      <c r="S38" s="1056"/>
      <c r="T38" s="1054" t="s">
        <v>2611</v>
      </c>
      <c r="U38" s="1055"/>
      <c r="V38" s="1055"/>
      <c r="W38" s="1055"/>
      <c r="X38" s="1056"/>
      <c r="Y38" s="1054" t="s">
        <v>2612</v>
      </c>
      <c r="Z38" s="1055"/>
      <c r="AA38" s="1055"/>
      <c r="AB38" s="1056"/>
      <c r="AC38" s="1054" t="s">
        <v>2613</v>
      </c>
      <c r="AD38" s="1055"/>
      <c r="AE38" s="1055"/>
      <c r="AF38" s="1056"/>
      <c r="AG38" s="1054" t="s">
        <v>2614</v>
      </c>
      <c r="AH38" s="1056"/>
    </row>
    <row r="39" spans="1:34" ht="11.85" customHeight="1">
      <c r="A39" s="1057" t="s">
        <v>2515</v>
      </c>
      <c r="B39" s="1058"/>
      <c r="C39" s="1058"/>
      <c r="D39" s="1058"/>
      <c r="E39" s="1059"/>
      <c r="F39" s="1054" t="s">
        <v>2615</v>
      </c>
      <c r="G39" s="1056"/>
      <c r="H39" s="1054" t="s">
        <v>2616</v>
      </c>
      <c r="I39" s="1055"/>
      <c r="J39" s="1055"/>
      <c r="K39" s="1055"/>
      <c r="L39" s="1056"/>
      <c r="M39" s="1054" t="s">
        <v>2617</v>
      </c>
      <c r="N39" s="1055"/>
      <c r="O39" s="1056"/>
      <c r="P39" s="1054" t="s">
        <v>2618</v>
      </c>
      <c r="Q39" s="1055"/>
      <c r="R39" s="1055"/>
      <c r="S39" s="1056"/>
      <c r="T39" s="1054" t="s">
        <v>2619</v>
      </c>
      <c r="U39" s="1055"/>
      <c r="V39" s="1055"/>
      <c r="W39" s="1055"/>
      <c r="X39" s="1056"/>
      <c r="Y39" s="1054" t="s">
        <v>2620</v>
      </c>
      <c r="Z39" s="1055"/>
      <c r="AA39" s="1055"/>
      <c r="AB39" s="1056"/>
      <c r="AC39" s="1054" t="s">
        <v>2619</v>
      </c>
      <c r="AD39" s="1055"/>
      <c r="AE39" s="1055"/>
      <c r="AF39" s="1056"/>
      <c r="AG39" s="1054" t="s">
        <v>2620</v>
      </c>
      <c r="AH39" s="1056"/>
    </row>
    <row r="40" spans="1:34" ht="11.85" customHeight="1">
      <c r="A40" s="1057" t="s">
        <v>2621</v>
      </c>
      <c r="B40" s="1058"/>
      <c r="C40" s="1058"/>
      <c r="D40" s="1058"/>
      <c r="E40" s="1059"/>
      <c r="F40" s="1054" t="s">
        <v>2622</v>
      </c>
      <c r="G40" s="1056"/>
      <c r="H40" s="1054" t="s">
        <v>2623</v>
      </c>
      <c r="I40" s="1055"/>
      <c r="J40" s="1055"/>
      <c r="K40" s="1055"/>
      <c r="L40" s="1056"/>
      <c r="M40" s="1054" t="s">
        <v>2624</v>
      </c>
      <c r="N40" s="1055"/>
      <c r="O40" s="1056"/>
      <c r="P40" s="1054" t="s">
        <v>2625</v>
      </c>
      <c r="Q40" s="1055"/>
      <c r="R40" s="1055"/>
      <c r="S40" s="1056"/>
      <c r="T40" s="1054" t="s">
        <v>2626</v>
      </c>
      <c r="U40" s="1055"/>
      <c r="V40" s="1055"/>
      <c r="W40" s="1055"/>
      <c r="X40" s="1056"/>
      <c r="Y40" s="1054" t="s">
        <v>2627</v>
      </c>
      <c r="Z40" s="1055"/>
      <c r="AA40" s="1055"/>
      <c r="AB40" s="1056"/>
      <c r="AC40" s="1054" t="s">
        <v>2628</v>
      </c>
      <c r="AD40" s="1055"/>
      <c r="AE40" s="1055"/>
      <c r="AF40" s="1056"/>
      <c r="AG40" s="1054" t="s">
        <v>2629</v>
      </c>
      <c r="AH40" s="1056"/>
    </row>
    <row r="41" spans="1:34" ht="11.85" customHeight="1">
      <c r="A41" s="1057" t="s">
        <v>2597</v>
      </c>
      <c r="B41" s="1058"/>
      <c r="C41" s="1058"/>
      <c r="D41" s="1058"/>
      <c r="E41" s="1059"/>
      <c r="F41" s="1054" t="s">
        <v>2622</v>
      </c>
      <c r="G41" s="1056"/>
      <c r="H41" s="1054" t="s">
        <v>2623</v>
      </c>
      <c r="I41" s="1055"/>
      <c r="J41" s="1055"/>
      <c r="K41" s="1055"/>
      <c r="L41" s="1056"/>
      <c r="M41" s="1054" t="s">
        <v>2624</v>
      </c>
      <c r="N41" s="1055"/>
      <c r="O41" s="1056"/>
      <c r="P41" s="1054" t="s">
        <v>2625</v>
      </c>
      <c r="Q41" s="1055"/>
      <c r="R41" s="1055"/>
      <c r="S41" s="1056"/>
      <c r="T41" s="1054" t="s">
        <v>2626</v>
      </c>
      <c r="U41" s="1055"/>
      <c r="V41" s="1055"/>
      <c r="W41" s="1055"/>
      <c r="X41" s="1056"/>
      <c r="Y41" s="1054" t="s">
        <v>2627</v>
      </c>
      <c r="Z41" s="1055"/>
      <c r="AA41" s="1055"/>
      <c r="AB41" s="1056"/>
      <c r="AC41" s="1054" t="s">
        <v>2628</v>
      </c>
      <c r="AD41" s="1055"/>
      <c r="AE41" s="1055"/>
      <c r="AF41" s="1056"/>
      <c r="AG41" s="1054" t="s">
        <v>2629</v>
      </c>
      <c r="AH41" s="1056"/>
    </row>
    <row r="42" spans="1:34" ht="11.1" customHeight="1">
      <c r="A42" s="1057" t="s">
        <v>2515</v>
      </c>
      <c r="B42" s="1058"/>
      <c r="C42" s="1058"/>
      <c r="D42" s="1058"/>
      <c r="E42" s="1059"/>
      <c r="F42" s="1054" t="s">
        <v>895</v>
      </c>
      <c r="G42" s="1056"/>
      <c r="H42" s="1054" t="s">
        <v>895</v>
      </c>
      <c r="I42" s="1055"/>
      <c r="J42" s="1055"/>
      <c r="K42" s="1055"/>
      <c r="L42" s="1056"/>
      <c r="M42" s="1054" t="s">
        <v>895</v>
      </c>
      <c r="N42" s="1055"/>
      <c r="O42" s="1056"/>
      <c r="P42" s="1054" t="s">
        <v>895</v>
      </c>
      <c r="Q42" s="1055"/>
      <c r="R42" s="1055"/>
      <c r="S42" s="1056"/>
      <c r="T42" s="1054" t="s">
        <v>895</v>
      </c>
      <c r="U42" s="1055"/>
      <c r="V42" s="1055"/>
      <c r="W42" s="1055"/>
      <c r="X42" s="1056"/>
      <c r="Y42" s="1054" t="s">
        <v>895</v>
      </c>
      <c r="Z42" s="1055"/>
      <c r="AA42" s="1055"/>
      <c r="AB42" s="1056"/>
      <c r="AC42" s="1054" t="s">
        <v>895</v>
      </c>
      <c r="AD42" s="1055"/>
      <c r="AE42" s="1055"/>
      <c r="AF42" s="1056"/>
      <c r="AG42" s="1054" t="s">
        <v>895</v>
      </c>
      <c r="AH42" s="1056"/>
    </row>
    <row r="43" spans="1:34" ht="11.85" customHeight="1">
      <c r="A43" s="1057" t="s">
        <v>2630</v>
      </c>
      <c r="B43" s="1058"/>
      <c r="C43" s="1058"/>
      <c r="D43" s="1058"/>
      <c r="E43" s="1059"/>
      <c r="F43" s="1054" t="s">
        <v>2631</v>
      </c>
      <c r="G43" s="1056"/>
      <c r="H43" s="1054" t="s">
        <v>2632</v>
      </c>
      <c r="I43" s="1055"/>
      <c r="J43" s="1055"/>
      <c r="K43" s="1055"/>
      <c r="L43" s="1056"/>
      <c r="M43" s="1054" t="s">
        <v>2633</v>
      </c>
      <c r="N43" s="1055"/>
      <c r="O43" s="1056"/>
      <c r="P43" s="1054" t="s">
        <v>2634</v>
      </c>
      <c r="Q43" s="1055"/>
      <c r="R43" s="1055"/>
      <c r="S43" s="1056"/>
      <c r="T43" s="1054" t="s">
        <v>1874</v>
      </c>
      <c r="U43" s="1055"/>
      <c r="V43" s="1055"/>
      <c r="W43" s="1055"/>
      <c r="X43" s="1056"/>
      <c r="Y43" s="1054" t="s">
        <v>806</v>
      </c>
      <c r="Z43" s="1055"/>
      <c r="AA43" s="1055"/>
      <c r="AB43" s="1056"/>
      <c r="AC43" s="1054" t="s">
        <v>2635</v>
      </c>
      <c r="AD43" s="1055"/>
      <c r="AE43" s="1055"/>
      <c r="AF43" s="1056"/>
      <c r="AG43" s="1054" t="s">
        <v>2636</v>
      </c>
      <c r="AH43" s="1056"/>
    </row>
    <row r="44" spans="1:34" ht="11.85" customHeight="1">
      <c r="A44" s="1057" t="s">
        <v>2597</v>
      </c>
      <c r="B44" s="1058"/>
      <c r="C44" s="1058"/>
      <c r="D44" s="1058"/>
      <c r="E44" s="1059"/>
      <c r="F44" s="1054" t="s">
        <v>2637</v>
      </c>
      <c r="G44" s="1056"/>
      <c r="H44" s="1054" t="s">
        <v>2638</v>
      </c>
      <c r="I44" s="1055"/>
      <c r="J44" s="1055"/>
      <c r="K44" s="1055"/>
      <c r="L44" s="1056"/>
      <c r="M44" s="1054" t="s">
        <v>2633</v>
      </c>
      <c r="N44" s="1055"/>
      <c r="O44" s="1056"/>
      <c r="P44" s="1054" t="s">
        <v>2634</v>
      </c>
      <c r="Q44" s="1055"/>
      <c r="R44" s="1055"/>
      <c r="S44" s="1056"/>
      <c r="T44" s="1054" t="s">
        <v>1874</v>
      </c>
      <c r="U44" s="1055"/>
      <c r="V44" s="1055"/>
      <c r="W44" s="1055"/>
      <c r="X44" s="1056"/>
      <c r="Y44" s="1054" t="s">
        <v>806</v>
      </c>
      <c r="Z44" s="1055"/>
      <c r="AA44" s="1055"/>
      <c r="AB44" s="1056"/>
      <c r="AC44" s="1054" t="s">
        <v>2635</v>
      </c>
      <c r="AD44" s="1055"/>
      <c r="AE44" s="1055"/>
      <c r="AF44" s="1056"/>
      <c r="AG44" s="1054" t="s">
        <v>2636</v>
      </c>
      <c r="AH44" s="1056"/>
    </row>
    <row r="45" spans="1:34" ht="11.85" customHeight="1">
      <c r="A45" s="1057" t="s">
        <v>2515</v>
      </c>
      <c r="B45" s="1058"/>
      <c r="C45" s="1058"/>
      <c r="D45" s="1058"/>
      <c r="E45" s="1059"/>
      <c r="F45" s="1054" t="s">
        <v>2639</v>
      </c>
      <c r="G45" s="1056"/>
      <c r="H45" s="1054" t="s">
        <v>2639</v>
      </c>
      <c r="I45" s="1055"/>
      <c r="J45" s="1055"/>
      <c r="K45" s="1055"/>
      <c r="L45" s="1056"/>
      <c r="M45" s="1054" t="s">
        <v>895</v>
      </c>
      <c r="N45" s="1055"/>
      <c r="O45" s="1056"/>
      <c r="P45" s="1054" t="s">
        <v>895</v>
      </c>
      <c r="Q45" s="1055"/>
      <c r="R45" s="1055"/>
      <c r="S45" s="1056"/>
      <c r="T45" s="1054" t="s">
        <v>895</v>
      </c>
      <c r="U45" s="1055"/>
      <c r="V45" s="1055"/>
      <c r="W45" s="1055"/>
      <c r="X45" s="1056"/>
      <c r="Y45" s="1054" t="s">
        <v>895</v>
      </c>
      <c r="Z45" s="1055"/>
      <c r="AA45" s="1055"/>
      <c r="AB45" s="1056"/>
      <c r="AC45" s="1054" t="s">
        <v>895</v>
      </c>
      <c r="AD45" s="1055"/>
      <c r="AE45" s="1055"/>
      <c r="AF45" s="1056"/>
      <c r="AG45" s="1054" t="s">
        <v>895</v>
      </c>
      <c r="AH45" s="1056"/>
    </row>
    <row r="46" spans="1:34" ht="5.0999999999999996" customHeight="1"/>
    <row r="47" spans="1:34" ht="11.85" customHeight="1">
      <c r="A47" s="779" t="s">
        <v>2640</v>
      </c>
      <c r="B47" s="779"/>
      <c r="C47" s="779"/>
      <c r="D47" s="779"/>
      <c r="E47" s="779"/>
      <c r="F47" s="779"/>
      <c r="G47" s="779"/>
      <c r="H47" s="779"/>
      <c r="I47" s="779"/>
      <c r="J47" s="779"/>
      <c r="K47" s="779"/>
      <c r="L47" s="779"/>
      <c r="M47" s="779"/>
      <c r="N47" s="779"/>
      <c r="O47" s="779"/>
      <c r="P47" s="779"/>
      <c r="Q47" s="779"/>
      <c r="R47" s="779"/>
      <c r="S47" s="779"/>
      <c r="T47" s="779"/>
      <c r="U47" s="779"/>
      <c r="V47" s="779"/>
      <c r="W47" s="779"/>
      <c r="X47" s="779"/>
      <c r="Y47" s="779"/>
      <c r="Z47" s="779"/>
      <c r="AA47" s="779"/>
      <c r="AB47" s="779"/>
      <c r="AC47" s="779"/>
      <c r="AD47" s="779"/>
      <c r="AE47" s="779"/>
      <c r="AF47" s="779"/>
      <c r="AG47" s="779"/>
    </row>
    <row r="48" spans="1:34" ht="5.85" customHeight="1"/>
    <row r="49" spans="1:34" ht="11.85" customHeight="1">
      <c r="A49" s="740" t="s">
        <v>1405</v>
      </c>
      <c r="B49" s="740"/>
      <c r="C49" s="740"/>
      <c r="D49" s="740"/>
      <c r="E49" s="740"/>
      <c r="F49" s="740"/>
      <c r="G49" s="740"/>
      <c r="AG49" s="512" t="s">
        <v>1914</v>
      </c>
    </row>
    <row r="50" spans="1:34" ht="11.1" customHeight="1">
      <c r="A50" s="740" t="s">
        <v>882</v>
      </c>
      <c r="B50" s="740"/>
      <c r="C50" s="740"/>
      <c r="D50" s="740"/>
      <c r="E50" s="740"/>
      <c r="F50" s="740"/>
      <c r="G50" s="740"/>
    </row>
    <row r="51" spans="1:34" ht="11.85" customHeight="1">
      <c r="A51" s="742" t="s">
        <v>2522</v>
      </c>
      <c r="B51" s="742"/>
      <c r="C51" s="742"/>
      <c r="D51" s="742"/>
      <c r="E51" s="742"/>
      <c r="F51" s="742"/>
      <c r="G51" s="742"/>
    </row>
    <row r="52" spans="1:34" ht="11.85" customHeight="1">
      <c r="A52" s="740" t="s">
        <v>1310</v>
      </c>
      <c r="B52" s="740"/>
      <c r="C52" s="740"/>
      <c r="D52" s="740"/>
      <c r="E52" s="740"/>
      <c r="F52" s="740"/>
      <c r="G52" s="740"/>
    </row>
    <row r="53" spans="1:34" ht="11.85" customHeight="1">
      <c r="A53" s="740" t="s">
        <v>885</v>
      </c>
      <c r="B53" s="740"/>
      <c r="C53" s="740"/>
      <c r="D53" s="740"/>
      <c r="E53" s="740"/>
      <c r="F53" s="740"/>
      <c r="G53" s="740"/>
    </row>
    <row r="54" spans="1:34" ht="5.85" customHeight="1"/>
    <row r="55" spans="1:34" ht="11.1" customHeight="1">
      <c r="A55" s="810" t="s">
        <v>2523</v>
      </c>
      <c r="B55" s="810"/>
      <c r="C55" s="810"/>
      <c r="D55" s="810"/>
      <c r="E55" s="810"/>
      <c r="F55" s="810"/>
      <c r="G55" s="810"/>
      <c r="H55" s="502"/>
      <c r="I55" s="502"/>
      <c r="J55" s="502"/>
      <c r="K55" s="502"/>
      <c r="L55" s="502"/>
      <c r="M55" s="502"/>
      <c r="N55" s="502"/>
      <c r="O55" s="502"/>
      <c r="P55" s="502"/>
      <c r="Q55" s="502"/>
      <c r="R55" s="502"/>
      <c r="S55" s="502"/>
      <c r="T55" s="502"/>
      <c r="U55" s="502"/>
      <c r="V55" s="502"/>
      <c r="W55" s="502"/>
      <c r="X55" s="502"/>
      <c r="Y55" s="502"/>
      <c r="Z55" s="502"/>
      <c r="AA55" s="502"/>
      <c r="AB55" s="502"/>
      <c r="AC55" s="502"/>
      <c r="AD55" s="502"/>
      <c r="AE55" s="502"/>
      <c r="AF55" s="502"/>
      <c r="AG55" s="502"/>
      <c r="AH55" s="502"/>
    </row>
    <row r="56" spans="1:34" ht="11.85" customHeight="1">
      <c r="A56" s="1075" t="s">
        <v>2577</v>
      </c>
      <c r="B56" s="1076"/>
      <c r="C56" s="1076"/>
      <c r="D56" s="1076"/>
      <c r="E56" s="1077"/>
      <c r="F56" s="757" t="s">
        <v>2578</v>
      </c>
      <c r="G56" s="1039"/>
      <c r="H56" s="757" t="s">
        <v>1889</v>
      </c>
      <c r="I56" s="1038"/>
      <c r="J56" s="1038"/>
      <c r="K56" s="1038"/>
      <c r="L56" s="1039"/>
      <c r="M56" s="751" t="s">
        <v>2579</v>
      </c>
      <c r="N56" s="1043"/>
      <c r="O56" s="1043"/>
      <c r="P56" s="1043"/>
      <c r="Q56" s="1043"/>
      <c r="R56" s="1043"/>
      <c r="S56" s="1044"/>
      <c r="T56" s="751" t="s">
        <v>2580</v>
      </c>
      <c r="U56" s="1043"/>
      <c r="V56" s="1043"/>
      <c r="W56" s="1043"/>
      <c r="X56" s="1043"/>
      <c r="Y56" s="1043"/>
      <c r="Z56" s="1043"/>
      <c r="AA56" s="1043"/>
      <c r="AB56" s="1044"/>
      <c r="AC56" s="751" t="s">
        <v>2581</v>
      </c>
      <c r="AD56" s="1043"/>
      <c r="AE56" s="1043"/>
      <c r="AF56" s="1043"/>
      <c r="AG56" s="1043"/>
      <c r="AH56" s="1044"/>
    </row>
    <row r="57" spans="1:34" ht="17.850000000000001" customHeight="1">
      <c r="A57" s="1078"/>
      <c r="B57" s="1079"/>
      <c r="C57" s="1079"/>
      <c r="D57" s="1079"/>
      <c r="E57" s="1080"/>
      <c r="F57" s="1040"/>
      <c r="G57" s="1042"/>
      <c r="H57" s="1040"/>
      <c r="I57" s="1041"/>
      <c r="J57" s="1041"/>
      <c r="K57" s="1041"/>
      <c r="L57" s="1042"/>
      <c r="M57" s="757" t="s">
        <v>2582</v>
      </c>
      <c r="N57" s="758"/>
      <c r="O57" s="759"/>
      <c r="P57" s="757" t="s">
        <v>2583</v>
      </c>
      <c r="Q57" s="758"/>
      <c r="R57" s="758"/>
      <c r="S57" s="759"/>
      <c r="T57" s="757" t="s">
        <v>2584</v>
      </c>
      <c r="U57" s="758"/>
      <c r="V57" s="758"/>
      <c r="W57" s="758"/>
      <c r="X57" s="759"/>
      <c r="Y57" s="757" t="s">
        <v>2585</v>
      </c>
      <c r="Z57" s="758"/>
      <c r="AA57" s="758"/>
      <c r="AB57" s="759"/>
      <c r="AC57" s="757" t="s">
        <v>2586</v>
      </c>
      <c r="AD57" s="758"/>
      <c r="AE57" s="758"/>
      <c r="AF57" s="759"/>
      <c r="AG57" s="757" t="s">
        <v>2587</v>
      </c>
      <c r="AH57" s="759"/>
    </row>
    <row r="58" spans="1:34" ht="11.1" customHeight="1">
      <c r="A58" s="1072" t="s">
        <v>2641</v>
      </c>
      <c r="B58" s="1073"/>
      <c r="C58" s="1073"/>
      <c r="D58" s="1073"/>
      <c r="E58" s="1074"/>
      <c r="F58" s="1048" t="s">
        <v>2642</v>
      </c>
      <c r="G58" s="1050"/>
      <c r="H58" s="1048" t="s">
        <v>2643</v>
      </c>
      <c r="I58" s="1049"/>
      <c r="J58" s="1049"/>
      <c r="K58" s="1049"/>
      <c r="L58" s="1050"/>
      <c r="M58" s="1048" t="s">
        <v>2644</v>
      </c>
      <c r="N58" s="1049"/>
      <c r="O58" s="1050"/>
      <c r="P58" s="1048" t="s">
        <v>2645</v>
      </c>
      <c r="Q58" s="1049"/>
      <c r="R58" s="1049"/>
      <c r="S58" s="1050"/>
      <c r="T58" s="1048" t="s">
        <v>2644</v>
      </c>
      <c r="U58" s="1049"/>
      <c r="V58" s="1049"/>
      <c r="W58" s="1049"/>
      <c r="X58" s="1050"/>
      <c r="Y58" s="1048" t="s">
        <v>2645</v>
      </c>
      <c r="Z58" s="1049"/>
      <c r="AA58" s="1049"/>
      <c r="AB58" s="1050"/>
      <c r="AC58" s="1048" t="s">
        <v>2646</v>
      </c>
      <c r="AD58" s="1049"/>
      <c r="AE58" s="1049"/>
      <c r="AF58" s="1050"/>
      <c r="AG58" s="1048" t="s">
        <v>2647</v>
      </c>
      <c r="AH58" s="1050"/>
    </row>
    <row r="59" spans="1:34" ht="11.85" customHeight="1">
      <c r="A59" s="1057" t="s">
        <v>2597</v>
      </c>
      <c r="B59" s="1058"/>
      <c r="C59" s="1058"/>
      <c r="D59" s="1058"/>
      <c r="E59" s="1059"/>
      <c r="F59" s="1054" t="s">
        <v>2642</v>
      </c>
      <c r="G59" s="1056"/>
      <c r="H59" s="1054" t="s">
        <v>2643</v>
      </c>
      <c r="I59" s="1055"/>
      <c r="J59" s="1055"/>
      <c r="K59" s="1055"/>
      <c r="L59" s="1056"/>
      <c r="M59" s="1054" t="s">
        <v>2644</v>
      </c>
      <c r="N59" s="1055"/>
      <c r="O59" s="1056"/>
      <c r="P59" s="1054" t="s">
        <v>2645</v>
      </c>
      <c r="Q59" s="1055"/>
      <c r="R59" s="1055"/>
      <c r="S59" s="1056"/>
      <c r="T59" s="1054" t="s">
        <v>2644</v>
      </c>
      <c r="U59" s="1055"/>
      <c r="V59" s="1055"/>
      <c r="W59" s="1055"/>
      <c r="X59" s="1056"/>
      <c r="Y59" s="1054" t="s">
        <v>2645</v>
      </c>
      <c r="Z59" s="1055"/>
      <c r="AA59" s="1055"/>
      <c r="AB59" s="1056"/>
      <c r="AC59" s="1054" t="s">
        <v>2646</v>
      </c>
      <c r="AD59" s="1055"/>
      <c r="AE59" s="1055"/>
      <c r="AF59" s="1056"/>
      <c r="AG59" s="1054" t="s">
        <v>2647</v>
      </c>
      <c r="AH59" s="1056"/>
    </row>
    <row r="60" spans="1:34" ht="11.85" customHeight="1">
      <c r="A60" s="1057" t="s">
        <v>2515</v>
      </c>
      <c r="B60" s="1058"/>
      <c r="C60" s="1058"/>
      <c r="D60" s="1058"/>
      <c r="E60" s="1059"/>
      <c r="F60" s="1054" t="s">
        <v>895</v>
      </c>
      <c r="G60" s="1056"/>
      <c r="H60" s="1054" t="s">
        <v>895</v>
      </c>
      <c r="I60" s="1055"/>
      <c r="J60" s="1055"/>
      <c r="K60" s="1055"/>
      <c r="L60" s="1056"/>
      <c r="M60" s="1054" t="s">
        <v>895</v>
      </c>
      <c r="N60" s="1055"/>
      <c r="O60" s="1056"/>
      <c r="P60" s="1054" t="s">
        <v>895</v>
      </c>
      <c r="Q60" s="1055"/>
      <c r="R60" s="1055"/>
      <c r="S60" s="1056"/>
      <c r="T60" s="1054" t="s">
        <v>895</v>
      </c>
      <c r="U60" s="1055"/>
      <c r="V60" s="1055"/>
      <c r="W60" s="1055"/>
      <c r="X60" s="1056"/>
      <c r="Y60" s="1054" t="s">
        <v>895</v>
      </c>
      <c r="Z60" s="1055"/>
      <c r="AA60" s="1055"/>
      <c r="AB60" s="1056"/>
      <c r="AC60" s="1054" t="s">
        <v>895</v>
      </c>
      <c r="AD60" s="1055"/>
      <c r="AE60" s="1055"/>
      <c r="AF60" s="1056"/>
      <c r="AG60" s="1054" t="s">
        <v>895</v>
      </c>
      <c r="AH60" s="1056"/>
    </row>
    <row r="61" spans="1:34" ht="11.85" customHeight="1">
      <c r="A61" s="1057" t="s">
        <v>2648</v>
      </c>
      <c r="B61" s="1058"/>
      <c r="C61" s="1058"/>
      <c r="D61" s="1058"/>
      <c r="E61" s="1059"/>
      <c r="F61" s="1054" t="s">
        <v>895</v>
      </c>
      <c r="G61" s="1056"/>
      <c r="H61" s="1054" t="s">
        <v>895</v>
      </c>
      <c r="I61" s="1055"/>
      <c r="J61" s="1055"/>
      <c r="K61" s="1055"/>
      <c r="L61" s="1056"/>
      <c r="M61" s="1054" t="s">
        <v>895</v>
      </c>
      <c r="N61" s="1055"/>
      <c r="O61" s="1056"/>
      <c r="P61" s="1054" t="s">
        <v>895</v>
      </c>
      <c r="Q61" s="1055"/>
      <c r="R61" s="1055"/>
      <c r="S61" s="1056"/>
      <c r="T61" s="1054" t="s">
        <v>895</v>
      </c>
      <c r="U61" s="1055"/>
      <c r="V61" s="1055"/>
      <c r="W61" s="1055"/>
      <c r="X61" s="1056"/>
      <c r="Y61" s="1054" t="s">
        <v>895</v>
      </c>
      <c r="Z61" s="1055"/>
      <c r="AA61" s="1055"/>
      <c r="AB61" s="1056"/>
      <c r="AC61" s="1054" t="s">
        <v>895</v>
      </c>
      <c r="AD61" s="1055"/>
      <c r="AE61" s="1055"/>
      <c r="AF61" s="1056"/>
      <c r="AG61" s="1054" t="s">
        <v>895</v>
      </c>
      <c r="AH61" s="1056"/>
    </row>
    <row r="62" spans="1:34" ht="11.1" customHeight="1">
      <c r="A62" s="1057" t="s">
        <v>2597</v>
      </c>
      <c r="B62" s="1058"/>
      <c r="C62" s="1058"/>
      <c r="D62" s="1058"/>
      <c r="E62" s="1059"/>
      <c r="F62" s="1054" t="s">
        <v>895</v>
      </c>
      <c r="G62" s="1056"/>
      <c r="H62" s="1054" t="s">
        <v>895</v>
      </c>
      <c r="I62" s="1055"/>
      <c r="J62" s="1055"/>
      <c r="K62" s="1055"/>
      <c r="L62" s="1056"/>
      <c r="M62" s="1054" t="s">
        <v>895</v>
      </c>
      <c r="N62" s="1055"/>
      <c r="O62" s="1056"/>
      <c r="P62" s="1054" t="s">
        <v>895</v>
      </c>
      <c r="Q62" s="1055"/>
      <c r="R62" s="1055"/>
      <c r="S62" s="1056"/>
      <c r="T62" s="1054" t="s">
        <v>895</v>
      </c>
      <c r="U62" s="1055"/>
      <c r="V62" s="1055"/>
      <c r="W62" s="1055"/>
      <c r="X62" s="1056"/>
      <c r="Y62" s="1054" t="s">
        <v>895</v>
      </c>
      <c r="Z62" s="1055"/>
      <c r="AA62" s="1055"/>
      <c r="AB62" s="1056"/>
      <c r="AC62" s="1054" t="s">
        <v>895</v>
      </c>
      <c r="AD62" s="1055"/>
      <c r="AE62" s="1055"/>
      <c r="AF62" s="1056"/>
      <c r="AG62" s="1054" t="s">
        <v>895</v>
      </c>
      <c r="AH62" s="1056"/>
    </row>
    <row r="63" spans="1:34" ht="11.85" customHeight="1">
      <c r="A63" s="1057" t="s">
        <v>2515</v>
      </c>
      <c r="B63" s="1058"/>
      <c r="C63" s="1058"/>
      <c r="D63" s="1058"/>
      <c r="E63" s="1059"/>
      <c r="F63" s="1054" t="s">
        <v>895</v>
      </c>
      <c r="G63" s="1056"/>
      <c r="H63" s="1054" t="s">
        <v>895</v>
      </c>
      <c r="I63" s="1055"/>
      <c r="J63" s="1055"/>
      <c r="K63" s="1055"/>
      <c r="L63" s="1056"/>
      <c r="M63" s="1054" t="s">
        <v>895</v>
      </c>
      <c r="N63" s="1055"/>
      <c r="O63" s="1056"/>
      <c r="P63" s="1054" t="s">
        <v>895</v>
      </c>
      <c r="Q63" s="1055"/>
      <c r="R63" s="1055"/>
      <c r="S63" s="1056"/>
      <c r="T63" s="1054" t="s">
        <v>895</v>
      </c>
      <c r="U63" s="1055"/>
      <c r="V63" s="1055"/>
      <c r="W63" s="1055"/>
      <c r="X63" s="1056"/>
      <c r="Y63" s="1054" t="s">
        <v>895</v>
      </c>
      <c r="Z63" s="1055"/>
      <c r="AA63" s="1055"/>
      <c r="AB63" s="1056"/>
      <c r="AC63" s="1054" t="s">
        <v>895</v>
      </c>
      <c r="AD63" s="1055"/>
      <c r="AE63" s="1055"/>
      <c r="AF63" s="1056"/>
      <c r="AG63" s="1054" t="s">
        <v>895</v>
      </c>
      <c r="AH63" s="1056"/>
    </row>
    <row r="64" spans="1:34" ht="11.85" customHeight="1">
      <c r="A64" s="1057" t="s">
        <v>2649</v>
      </c>
      <c r="B64" s="1058"/>
      <c r="C64" s="1058"/>
      <c r="D64" s="1058"/>
      <c r="E64" s="1059"/>
      <c r="F64" s="1054" t="s">
        <v>2650</v>
      </c>
      <c r="G64" s="1056"/>
      <c r="H64" s="1054" t="s">
        <v>2651</v>
      </c>
      <c r="I64" s="1055"/>
      <c r="J64" s="1055"/>
      <c r="K64" s="1055"/>
      <c r="L64" s="1056"/>
      <c r="M64" s="1054" t="s">
        <v>2652</v>
      </c>
      <c r="N64" s="1055"/>
      <c r="O64" s="1056"/>
      <c r="P64" s="1054" t="s">
        <v>2653</v>
      </c>
      <c r="Q64" s="1055"/>
      <c r="R64" s="1055"/>
      <c r="S64" s="1056"/>
      <c r="T64" s="1054" t="s">
        <v>2654</v>
      </c>
      <c r="U64" s="1055"/>
      <c r="V64" s="1055"/>
      <c r="W64" s="1055"/>
      <c r="X64" s="1056"/>
      <c r="Y64" s="1054" t="s">
        <v>2655</v>
      </c>
      <c r="Z64" s="1055"/>
      <c r="AA64" s="1055"/>
      <c r="AB64" s="1056"/>
      <c r="AC64" s="1054" t="s">
        <v>2656</v>
      </c>
      <c r="AD64" s="1055"/>
      <c r="AE64" s="1055"/>
      <c r="AF64" s="1056"/>
      <c r="AG64" s="1054" t="s">
        <v>2657</v>
      </c>
      <c r="AH64" s="1056"/>
    </row>
    <row r="65" spans="1:34" ht="11.85" customHeight="1">
      <c r="A65" s="1057" t="s">
        <v>2597</v>
      </c>
      <c r="B65" s="1058"/>
      <c r="C65" s="1058"/>
      <c r="D65" s="1058"/>
      <c r="E65" s="1059"/>
      <c r="F65" s="1054" t="s">
        <v>2658</v>
      </c>
      <c r="G65" s="1056"/>
      <c r="H65" s="1054" t="s">
        <v>2659</v>
      </c>
      <c r="I65" s="1055"/>
      <c r="J65" s="1055"/>
      <c r="K65" s="1055"/>
      <c r="L65" s="1056"/>
      <c r="M65" s="1054" t="s">
        <v>2660</v>
      </c>
      <c r="N65" s="1055"/>
      <c r="O65" s="1056"/>
      <c r="P65" s="1054" t="s">
        <v>2661</v>
      </c>
      <c r="Q65" s="1055"/>
      <c r="R65" s="1055"/>
      <c r="S65" s="1056"/>
      <c r="T65" s="1054" t="s">
        <v>2662</v>
      </c>
      <c r="U65" s="1055"/>
      <c r="V65" s="1055"/>
      <c r="W65" s="1055"/>
      <c r="X65" s="1056"/>
      <c r="Y65" s="1054" t="s">
        <v>2663</v>
      </c>
      <c r="Z65" s="1055"/>
      <c r="AA65" s="1055"/>
      <c r="AB65" s="1056"/>
      <c r="AC65" s="1054" t="s">
        <v>2664</v>
      </c>
      <c r="AD65" s="1055"/>
      <c r="AE65" s="1055"/>
      <c r="AF65" s="1056"/>
      <c r="AG65" s="1054" t="s">
        <v>2665</v>
      </c>
      <c r="AH65" s="1056"/>
    </row>
    <row r="66" spans="1:34" ht="11.1" customHeight="1">
      <c r="A66" s="1066" t="s">
        <v>2515</v>
      </c>
      <c r="B66" s="1067"/>
      <c r="C66" s="1067"/>
      <c r="D66" s="1067"/>
      <c r="E66" s="1068"/>
      <c r="F66" s="1069" t="s">
        <v>2666</v>
      </c>
      <c r="G66" s="1071"/>
      <c r="H66" s="1069" t="s">
        <v>2667</v>
      </c>
      <c r="I66" s="1070"/>
      <c r="J66" s="1070"/>
      <c r="K66" s="1070"/>
      <c r="L66" s="1071"/>
      <c r="M66" s="1069" t="s">
        <v>2668</v>
      </c>
      <c r="N66" s="1070"/>
      <c r="O66" s="1071"/>
      <c r="P66" s="1069" t="s">
        <v>2669</v>
      </c>
      <c r="Q66" s="1070"/>
      <c r="R66" s="1070"/>
      <c r="S66" s="1071"/>
      <c r="T66" s="1069" t="s">
        <v>2668</v>
      </c>
      <c r="U66" s="1070"/>
      <c r="V66" s="1070"/>
      <c r="W66" s="1070"/>
      <c r="X66" s="1071"/>
      <c r="Y66" s="1069" t="s">
        <v>2669</v>
      </c>
      <c r="Z66" s="1070"/>
      <c r="AA66" s="1070"/>
      <c r="AB66" s="1071"/>
      <c r="AC66" s="1069" t="s">
        <v>2668</v>
      </c>
      <c r="AD66" s="1070"/>
      <c r="AE66" s="1070"/>
      <c r="AF66" s="1071"/>
      <c r="AG66" s="1069" t="s">
        <v>2669</v>
      </c>
      <c r="AH66" s="1071"/>
    </row>
    <row r="67" spans="1:34" ht="11.85" customHeight="1">
      <c r="A67" s="1081" t="s">
        <v>2670</v>
      </c>
      <c r="B67" s="1082"/>
      <c r="C67" s="1082"/>
      <c r="D67" s="1082"/>
      <c r="E67" s="1083"/>
      <c r="F67" s="1084" t="s">
        <v>2671</v>
      </c>
      <c r="G67" s="1085"/>
      <c r="H67" s="1084" t="s">
        <v>2671</v>
      </c>
      <c r="I67" s="1086"/>
      <c r="J67" s="1086"/>
      <c r="K67" s="1086"/>
      <c r="L67" s="1085"/>
      <c r="M67" s="1084" t="s">
        <v>985</v>
      </c>
      <c r="N67" s="1086"/>
      <c r="O67" s="1085"/>
      <c r="P67" s="1084" t="s">
        <v>2672</v>
      </c>
      <c r="Q67" s="1086"/>
      <c r="R67" s="1086"/>
      <c r="S67" s="1085"/>
      <c r="T67" s="1084" t="s">
        <v>1186</v>
      </c>
      <c r="U67" s="1086"/>
      <c r="V67" s="1086"/>
      <c r="W67" s="1086"/>
      <c r="X67" s="1085"/>
      <c r="Y67" s="1084" t="s">
        <v>2673</v>
      </c>
      <c r="Z67" s="1086"/>
      <c r="AA67" s="1086"/>
      <c r="AB67" s="1085"/>
      <c r="AC67" s="1084" t="s">
        <v>1250</v>
      </c>
      <c r="AD67" s="1086"/>
      <c r="AE67" s="1086"/>
      <c r="AF67" s="1085"/>
      <c r="AG67" s="1084" t="s">
        <v>2674</v>
      </c>
      <c r="AH67" s="1085"/>
    </row>
    <row r="68" spans="1:34" ht="11.85" customHeight="1">
      <c r="A68" s="838"/>
      <c r="B68" s="838"/>
      <c r="C68" s="838"/>
      <c r="D68" s="838"/>
      <c r="E68" s="838"/>
      <c r="F68" s="838"/>
      <c r="G68" s="838"/>
      <c r="H68" s="838"/>
      <c r="I68" s="838"/>
      <c r="J68" s="838"/>
      <c r="K68" s="838"/>
      <c r="L68" s="838"/>
      <c r="M68" s="838"/>
      <c r="N68" s="838"/>
      <c r="O68" s="838"/>
      <c r="P68" s="838"/>
      <c r="Q68" s="838"/>
      <c r="R68" s="838"/>
      <c r="S68" s="838"/>
      <c r="T68" s="838"/>
      <c r="U68" s="838"/>
      <c r="V68" s="838"/>
      <c r="W68" s="838"/>
      <c r="X68" s="838"/>
      <c r="Y68" s="838"/>
      <c r="Z68" s="838"/>
      <c r="AA68" s="838"/>
      <c r="AB68" s="838"/>
      <c r="AC68" s="838"/>
      <c r="AD68" s="838"/>
      <c r="AE68" s="838"/>
      <c r="AF68" s="838"/>
      <c r="AG68" s="838"/>
      <c r="AH68" s="838"/>
    </row>
    <row r="69" spans="1:34" ht="28.9" customHeight="1">
      <c r="A69" s="1032" t="s">
        <v>2675</v>
      </c>
      <c r="B69" s="1087"/>
      <c r="C69" s="1087"/>
      <c r="D69" s="1087"/>
      <c r="E69" s="1087"/>
      <c r="F69" s="1087"/>
      <c r="G69" s="1087"/>
      <c r="H69" s="1087"/>
      <c r="I69" s="1087"/>
      <c r="J69" s="1087"/>
      <c r="K69" s="1087"/>
      <c r="L69" s="1087"/>
      <c r="M69" s="1087"/>
      <c r="N69" s="1088"/>
      <c r="O69" s="757" t="s">
        <v>2676</v>
      </c>
      <c r="P69" s="758"/>
      <c r="Q69" s="758"/>
      <c r="R69" s="758"/>
      <c r="S69" s="758"/>
      <c r="T69" s="759"/>
      <c r="U69" s="757" t="s">
        <v>2677</v>
      </c>
      <c r="V69" s="758"/>
      <c r="W69" s="758"/>
      <c r="X69" s="758"/>
      <c r="Y69" s="758"/>
      <c r="Z69" s="758"/>
      <c r="AA69" s="758"/>
      <c r="AB69" s="758"/>
      <c r="AC69" s="759"/>
      <c r="AD69" s="757" t="s">
        <v>2678</v>
      </c>
      <c r="AE69" s="758"/>
      <c r="AF69" s="758"/>
      <c r="AG69" s="758"/>
      <c r="AH69" s="759"/>
    </row>
    <row r="70" spans="1:34" ht="11.85" customHeight="1">
      <c r="A70" s="1072" t="s">
        <v>2679</v>
      </c>
      <c r="B70" s="1073"/>
      <c r="C70" s="1073"/>
      <c r="D70" s="1073"/>
      <c r="E70" s="1073"/>
      <c r="F70" s="1073"/>
      <c r="G70" s="1073"/>
      <c r="H70" s="1073"/>
      <c r="I70" s="1073"/>
      <c r="J70" s="1073"/>
      <c r="K70" s="1073"/>
      <c r="L70" s="1073"/>
      <c r="M70" s="1073"/>
      <c r="N70" s="1074"/>
      <c r="O70" s="1048" t="s">
        <v>985</v>
      </c>
      <c r="P70" s="1049"/>
      <c r="Q70" s="1049"/>
      <c r="R70" s="1049"/>
      <c r="S70" s="1049"/>
      <c r="T70" s="1050"/>
      <c r="U70" s="1048" t="s">
        <v>1186</v>
      </c>
      <c r="V70" s="1049"/>
      <c r="W70" s="1049"/>
      <c r="X70" s="1049"/>
      <c r="Y70" s="1049"/>
      <c r="Z70" s="1049"/>
      <c r="AA70" s="1049"/>
      <c r="AB70" s="1049"/>
      <c r="AC70" s="1050"/>
      <c r="AD70" s="1048" t="s">
        <v>1250</v>
      </c>
      <c r="AE70" s="1049"/>
      <c r="AF70" s="1049"/>
      <c r="AG70" s="1049"/>
      <c r="AH70" s="1050"/>
    </row>
    <row r="71" spans="1:34" ht="11.85" customHeight="1">
      <c r="A71" s="1057" t="s">
        <v>2680</v>
      </c>
      <c r="B71" s="1058"/>
      <c r="C71" s="1058"/>
      <c r="D71" s="1058"/>
      <c r="E71" s="1058"/>
      <c r="F71" s="1058"/>
      <c r="G71" s="1058"/>
      <c r="H71" s="1058"/>
      <c r="I71" s="1058"/>
      <c r="J71" s="1058"/>
      <c r="K71" s="1058"/>
      <c r="L71" s="1058"/>
      <c r="M71" s="1058"/>
      <c r="N71" s="1059"/>
      <c r="O71" s="1054" t="s">
        <v>895</v>
      </c>
      <c r="P71" s="1055"/>
      <c r="Q71" s="1055"/>
      <c r="R71" s="1055"/>
      <c r="S71" s="1055"/>
      <c r="T71" s="1056"/>
      <c r="U71" s="1054" t="s">
        <v>895</v>
      </c>
      <c r="V71" s="1055"/>
      <c r="W71" s="1055"/>
      <c r="X71" s="1055"/>
      <c r="Y71" s="1055"/>
      <c r="Z71" s="1055"/>
      <c r="AA71" s="1055"/>
      <c r="AB71" s="1055"/>
      <c r="AC71" s="1056"/>
      <c r="AD71" s="1054" t="s">
        <v>895</v>
      </c>
      <c r="AE71" s="1055"/>
      <c r="AF71" s="1055"/>
      <c r="AG71" s="1055"/>
      <c r="AH71" s="1056"/>
    </row>
    <row r="72" spans="1:34" ht="11.85" customHeight="1">
      <c r="A72" s="1057" t="s">
        <v>2681</v>
      </c>
      <c r="B72" s="1058"/>
      <c r="C72" s="1058"/>
      <c r="D72" s="1058"/>
      <c r="E72" s="1058"/>
      <c r="F72" s="1058"/>
      <c r="G72" s="1058"/>
      <c r="H72" s="1058"/>
      <c r="I72" s="1058"/>
      <c r="J72" s="1058"/>
      <c r="K72" s="1058"/>
      <c r="L72" s="1058"/>
      <c r="M72" s="1058"/>
      <c r="N72" s="1059"/>
      <c r="O72" s="1054" t="s">
        <v>895</v>
      </c>
      <c r="P72" s="1055"/>
      <c r="Q72" s="1055"/>
      <c r="R72" s="1055"/>
      <c r="S72" s="1055"/>
      <c r="T72" s="1056"/>
      <c r="U72" s="1054" t="s">
        <v>895</v>
      </c>
      <c r="V72" s="1055"/>
      <c r="W72" s="1055"/>
      <c r="X72" s="1055"/>
      <c r="Y72" s="1055"/>
      <c r="Z72" s="1055"/>
      <c r="AA72" s="1055"/>
      <c r="AB72" s="1055"/>
      <c r="AC72" s="1056"/>
      <c r="AD72" s="1054" t="s">
        <v>895</v>
      </c>
      <c r="AE72" s="1055"/>
      <c r="AF72" s="1055"/>
      <c r="AG72" s="1055"/>
      <c r="AH72" s="1056"/>
    </row>
    <row r="73" spans="1:34" ht="11.1" customHeight="1">
      <c r="A73" s="1066" t="s">
        <v>2682</v>
      </c>
      <c r="B73" s="1067"/>
      <c r="C73" s="1067"/>
      <c r="D73" s="1067"/>
      <c r="E73" s="1067"/>
      <c r="F73" s="1067"/>
      <c r="G73" s="1067"/>
      <c r="H73" s="1067"/>
      <c r="I73" s="1067"/>
      <c r="J73" s="1067"/>
      <c r="K73" s="1067"/>
      <c r="L73" s="1067"/>
      <c r="M73" s="1067"/>
      <c r="N73" s="1068"/>
      <c r="O73" s="1069" t="s">
        <v>895</v>
      </c>
      <c r="P73" s="1070"/>
      <c r="Q73" s="1070"/>
      <c r="R73" s="1070"/>
      <c r="S73" s="1070"/>
      <c r="T73" s="1071"/>
      <c r="U73" s="1069" t="s">
        <v>895</v>
      </c>
      <c r="V73" s="1070"/>
      <c r="W73" s="1070"/>
      <c r="X73" s="1070"/>
      <c r="Y73" s="1070"/>
      <c r="Z73" s="1070"/>
      <c r="AA73" s="1070"/>
      <c r="AB73" s="1070"/>
      <c r="AC73" s="1071"/>
      <c r="AD73" s="1069" t="s">
        <v>895</v>
      </c>
      <c r="AE73" s="1070"/>
      <c r="AF73" s="1070"/>
      <c r="AG73" s="1070"/>
      <c r="AH73" s="1071"/>
    </row>
    <row r="74" spans="1:34" ht="11.85" customHeight="1">
      <c r="A74" s="1081" t="s">
        <v>2683</v>
      </c>
      <c r="B74" s="1082"/>
      <c r="C74" s="1082"/>
      <c r="D74" s="1082"/>
      <c r="E74" s="1082"/>
      <c r="F74" s="1082"/>
      <c r="G74" s="1082"/>
      <c r="H74" s="1082"/>
      <c r="I74" s="1082"/>
      <c r="J74" s="1082"/>
      <c r="K74" s="1082"/>
      <c r="L74" s="1082"/>
      <c r="M74" s="1082"/>
      <c r="N74" s="1083"/>
      <c r="O74" s="1084" t="s">
        <v>985</v>
      </c>
      <c r="P74" s="1086"/>
      <c r="Q74" s="1086"/>
      <c r="R74" s="1086"/>
      <c r="S74" s="1086"/>
      <c r="T74" s="1085"/>
      <c r="U74" s="1084" t="s">
        <v>1186</v>
      </c>
      <c r="V74" s="1086"/>
      <c r="W74" s="1086"/>
      <c r="X74" s="1086"/>
      <c r="Y74" s="1086"/>
      <c r="Z74" s="1086"/>
      <c r="AA74" s="1086"/>
      <c r="AB74" s="1086"/>
      <c r="AC74" s="1085"/>
      <c r="AD74" s="1084" t="s">
        <v>1250</v>
      </c>
      <c r="AE74" s="1086"/>
      <c r="AF74" s="1086"/>
      <c r="AG74" s="1086"/>
      <c r="AH74" s="1085"/>
    </row>
    <row r="75" spans="1:34" ht="11.85" customHeight="1">
      <c r="A75" s="1072" t="s">
        <v>2684</v>
      </c>
      <c r="B75" s="1073"/>
      <c r="C75" s="1073"/>
      <c r="D75" s="1073"/>
      <c r="E75" s="1073"/>
      <c r="F75" s="1073"/>
      <c r="G75" s="1073"/>
      <c r="H75" s="1073"/>
      <c r="I75" s="1073"/>
      <c r="J75" s="1073"/>
      <c r="K75" s="1073"/>
      <c r="L75" s="1073"/>
      <c r="M75" s="1073"/>
      <c r="N75" s="1074"/>
      <c r="O75" s="1089" t="s">
        <v>2685</v>
      </c>
      <c r="P75" s="1090"/>
      <c r="Q75" s="1090"/>
      <c r="R75" s="1090"/>
      <c r="S75" s="1090"/>
      <c r="T75" s="1090"/>
      <c r="U75" s="1090"/>
      <c r="V75" s="1090"/>
      <c r="W75" s="1090"/>
      <c r="X75" s="1090"/>
      <c r="Y75" s="1090"/>
      <c r="Z75" s="1090"/>
      <c r="AA75" s="1090"/>
      <c r="AB75" s="1090"/>
      <c r="AC75" s="1090"/>
      <c r="AD75" s="1090"/>
      <c r="AE75" s="1090"/>
      <c r="AF75" s="1090"/>
      <c r="AG75" s="1090"/>
      <c r="AH75" s="1091"/>
    </row>
    <row r="76" spans="1:34" ht="11.85" customHeight="1">
      <c r="A76" s="1057" t="s">
        <v>2686</v>
      </c>
      <c r="B76" s="1058"/>
      <c r="C76" s="1058"/>
      <c r="D76" s="1058"/>
      <c r="E76" s="1058"/>
      <c r="F76" s="1058"/>
      <c r="G76" s="1058"/>
      <c r="H76" s="1058"/>
      <c r="I76" s="1058"/>
      <c r="J76" s="1058"/>
      <c r="K76" s="1058"/>
      <c r="L76" s="1058"/>
      <c r="M76" s="1058"/>
      <c r="N76" s="1059"/>
      <c r="O76" s="1089" t="s">
        <v>2685</v>
      </c>
      <c r="P76" s="1090"/>
      <c r="Q76" s="1090"/>
      <c r="R76" s="1090"/>
      <c r="S76" s="1090"/>
      <c r="T76" s="1090"/>
      <c r="U76" s="1090"/>
      <c r="V76" s="1090"/>
      <c r="W76" s="1090"/>
      <c r="X76" s="1090"/>
      <c r="Y76" s="1090"/>
      <c r="Z76" s="1090"/>
      <c r="AA76" s="1090"/>
      <c r="AB76" s="1090"/>
      <c r="AC76" s="1090"/>
      <c r="AD76" s="1090"/>
      <c r="AE76" s="1090"/>
      <c r="AF76" s="1090"/>
      <c r="AG76" s="1090"/>
      <c r="AH76" s="1091"/>
    </row>
    <row r="77" spans="1:34" ht="17.100000000000001" customHeight="1">
      <c r="A77" s="1107" t="s">
        <v>2687</v>
      </c>
      <c r="B77" s="1108"/>
      <c r="C77" s="1108"/>
      <c r="D77" s="1108"/>
      <c r="E77" s="1108"/>
      <c r="F77" s="1108"/>
      <c r="G77" s="1108"/>
      <c r="H77" s="1108"/>
      <c r="I77" s="1108"/>
      <c r="J77" s="1108"/>
      <c r="K77" s="1108"/>
      <c r="L77" s="1108"/>
      <c r="M77" s="1108"/>
      <c r="N77" s="1109"/>
      <c r="O77" s="1095" t="s">
        <v>895</v>
      </c>
      <c r="P77" s="1096"/>
      <c r="Q77" s="1096"/>
      <c r="R77" s="1096"/>
      <c r="S77" s="1096"/>
      <c r="T77" s="1097"/>
      <c r="U77" s="1095" t="s">
        <v>2688</v>
      </c>
      <c r="V77" s="1096"/>
      <c r="W77" s="1096"/>
      <c r="X77" s="1096"/>
      <c r="Y77" s="1096"/>
      <c r="Z77" s="1096"/>
      <c r="AA77" s="1096"/>
      <c r="AB77" s="1096"/>
      <c r="AC77" s="1097"/>
      <c r="AD77" s="1095" t="s">
        <v>2689</v>
      </c>
      <c r="AE77" s="1096"/>
      <c r="AF77" s="1096"/>
      <c r="AG77" s="1096"/>
      <c r="AH77" s="1097"/>
    </row>
    <row r="78" spans="1:34" ht="17.850000000000001" customHeight="1">
      <c r="A78" s="1092" t="s">
        <v>2690</v>
      </c>
      <c r="B78" s="1093"/>
      <c r="C78" s="1093"/>
      <c r="D78" s="1093"/>
      <c r="E78" s="1093"/>
      <c r="F78" s="1093"/>
      <c r="G78" s="1093"/>
      <c r="H78" s="1093"/>
      <c r="I78" s="1093"/>
      <c r="J78" s="1093"/>
      <c r="K78" s="1093"/>
      <c r="L78" s="1093"/>
      <c r="M78" s="1093"/>
      <c r="N78" s="1094"/>
      <c r="O78" s="1095" t="s">
        <v>895</v>
      </c>
      <c r="P78" s="1096"/>
      <c r="Q78" s="1096"/>
      <c r="R78" s="1096"/>
      <c r="S78" s="1096"/>
      <c r="T78" s="1097"/>
      <c r="U78" s="1098"/>
      <c r="V78" s="1099"/>
      <c r="W78" s="1099"/>
      <c r="X78" s="1099"/>
      <c r="Y78" s="1099"/>
      <c r="Z78" s="1099"/>
      <c r="AA78" s="1099"/>
      <c r="AB78" s="1099"/>
      <c r="AC78" s="1100"/>
      <c r="AD78" s="1098"/>
      <c r="AE78" s="1099"/>
      <c r="AF78" s="1099"/>
      <c r="AG78" s="1099"/>
      <c r="AH78" s="1100"/>
    </row>
    <row r="79" spans="1:34" ht="17.100000000000001" customHeight="1">
      <c r="A79" s="1101" t="s">
        <v>2691</v>
      </c>
      <c r="B79" s="1102"/>
      <c r="C79" s="1102"/>
      <c r="D79" s="1102"/>
      <c r="E79" s="1102"/>
      <c r="F79" s="1102"/>
      <c r="G79" s="1102"/>
      <c r="H79" s="1102"/>
      <c r="I79" s="1102"/>
      <c r="J79" s="1102"/>
      <c r="K79" s="1102"/>
      <c r="L79" s="1102"/>
      <c r="M79" s="1102"/>
      <c r="N79" s="1103"/>
      <c r="O79" s="1104" t="s">
        <v>895</v>
      </c>
      <c r="P79" s="1105"/>
      <c r="Q79" s="1105"/>
      <c r="R79" s="1105"/>
      <c r="S79" s="1105"/>
      <c r="T79" s="1106"/>
      <c r="U79" s="1104" t="s">
        <v>2692</v>
      </c>
      <c r="V79" s="1105"/>
      <c r="W79" s="1105"/>
      <c r="X79" s="1105"/>
      <c r="Y79" s="1105"/>
      <c r="Z79" s="1105"/>
      <c r="AA79" s="1105"/>
      <c r="AB79" s="1105"/>
      <c r="AC79" s="1106"/>
      <c r="AD79" s="1098"/>
      <c r="AE79" s="1099"/>
      <c r="AF79" s="1099"/>
      <c r="AG79" s="1099"/>
      <c r="AH79" s="1100"/>
    </row>
    <row r="80" spans="1:34" ht="11.85" customHeight="1">
      <c r="A80" s="838"/>
      <c r="B80" s="838"/>
      <c r="C80" s="838"/>
      <c r="D80" s="838"/>
      <c r="E80" s="838"/>
      <c r="F80" s="838"/>
      <c r="G80" s="838"/>
      <c r="H80" s="838"/>
      <c r="I80" s="838"/>
      <c r="J80" s="838"/>
      <c r="K80" s="838"/>
      <c r="L80" s="838"/>
      <c r="M80" s="838"/>
      <c r="N80" s="838"/>
      <c r="O80" s="838"/>
      <c r="P80" s="838"/>
      <c r="Q80" s="838"/>
      <c r="R80" s="838"/>
      <c r="S80" s="838"/>
      <c r="T80" s="838"/>
      <c r="U80" s="838"/>
      <c r="V80" s="838"/>
      <c r="W80" s="838"/>
      <c r="X80" s="838"/>
      <c r="Y80" s="838"/>
      <c r="Z80" s="838"/>
      <c r="AA80" s="838"/>
      <c r="AB80" s="838"/>
      <c r="AC80" s="838"/>
      <c r="AD80" s="838"/>
      <c r="AE80" s="838"/>
      <c r="AF80" s="838"/>
      <c r="AG80" s="838"/>
      <c r="AH80" s="838"/>
    </row>
    <row r="81" spans="1:34" ht="11.85" customHeight="1">
      <c r="A81" s="1075" t="s">
        <v>2693</v>
      </c>
      <c r="B81" s="1076"/>
      <c r="C81" s="1076"/>
      <c r="D81" s="1076"/>
      <c r="E81" s="1076"/>
      <c r="F81" s="1076"/>
      <c r="G81" s="1076"/>
      <c r="H81" s="1076"/>
      <c r="I81" s="1076"/>
      <c r="J81" s="1076"/>
      <c r="K81" s="1077"/>
      <c r="L81" s="757" t="s">
        <v>2694</v>
      </c>
      <c r="M81" s="758"/>
      <c r="N81" s="758"/>
      <c r="O81" s="758"/>
      <c r="P81" s="758"/>
      <c r="Q81" s="758"/>
      <c r="R81" s="758"/>
      <c r="S81" s="758"/>
      <c r="T81" s="758"/>
      <c r="U81" s="758"/>
      <c r="V81" s="758"/>
      <c r="W81" s="758"/>
      <c r="X81" s="758"/>
      <c r="Y81" s="758"/>
      <c r="Z81" s="758"/>
      <c r="AA81" s="758"/>
      <c r="AB81" s="758"/>
      <c r="AC81" s="758"/>
      <c r="AD81" s="758"/>
      <c r="AE81" s="758"/>
      <c r="AF81" s="758"/>
      <c r="AG81" s="758"/>
      <c r="AH81" s="759"/>
    </row>
    <row r="82" spans="1:34" ht="17.850000000000001" customHeight="1">
      <c r="A82" s="1113"/>
      <c r="B82" s="1114"/>
      <c r="C82" s="1114"/>
      <c r="D82" s="1114"/>
      <c r="E82" s="1114"/>
      <c r="F82" s="1114"/>
      <c r="G82" s="1114"/>
      <c r="H82" s="1114"/>
      <c r="I82" s="1114"/>
      <c r="J82" s="1114"/>
      <c r="K82" s="1115"/>
      <c r="L82" s="757" t="s">
        <v>2695</v>
      </c>
      <c r="M82" s="1038"/>
      <c r="N82" s="1038"/>
      <c r="O82" s="1038"/>
      <c r="P82" s="1038"/>
      <c r="Q82" s="1038"/>
      <c r="R82" s="1039"/>
      <c r="S82" s="757" t="s">
        <v>2696</v>
      </c>
      <c r="T82" s="758"/>
      <c r="U82" s="758"/>
      <c r="V82" s="758"/>
      <c r="W82" s="758"/>
      <c r="X82" s="758"/>
      <c r="Y82" s="758"/>
      <c r="Z82" s="758"/>
      <c r="AA82" s="758"/>
      <c r="AB82" s="758"/>
      <c r="AC82" s="759"/>
      <c r="AD82" s="757" t="s">
        <v>2697</v>
      </c>
      <c r="AE82" s="1038"/>
      <c r="AF82" s="1038"/>
      <c r="AG82" s="1038"/>
      <c r="AH82" s="1039"/>
    </row>
    <row r="83" spans="1:34" ht="22.9" customHeight="1">
      <c r="A83" s="1078"/>
      <c r="B83" s="1079"/>
      <c r="C83" s="1079"/>
      <c r="D83" s="1079"/>
      <c r="E83" s="1079"/>
      <c r="F83" s="1079"/>
      <c r="G83" s="1079"/>
      <c r="H83" s="1079"/>
      <c r="I83" s="1079"/>
      <c r="J83" s="1079"/>
      <c r="K83" s="1080"/>
      <c r="L83" s="1040"/>
      <c r="M83" s="1041"/>
      <c r="N83" s="1041"/>
      <c r="O83" s="1041"/>
      <c r="P83" s="1041"/>
      <c r="Q83" s="1041"/>
      <c r="R83" s="1042"/>
      <c r="S83" s="757" t="s">
        <v>2698</v>
      </c>
      <c r="T83" s="758"/>
      <c r="U83" s="759"/>
      <c r="V83" s="757" t="s">
        <v>2699</v>
      </c>
      <c r="W83" s="758"/>
      <c r="X83" s="758"/>
      <c r="Y83" s="759"/>
      <c r="Z83" s="757" t="s">
        <v>2700</v>
      </c>
      <c r="AA83" s="758"/>
      <c r="AB83" s="758"/>
      <c r="AC83" s="759"/>
      <c r="AD83" s="1040"/>
      <c r="AE83" s="1041"/>
      <c r="AF83" s="1041"/>
      <c r="AG83" s="1041"/>
      <c r="AH83" s="1042"/>
    </row>
    <row r="84" spans="1:34" ht="11.85" customHeight="1">
      <c r="A84" s="1072" t="s">
        <v>2701</v>
      </c>
      <c r="B84" s="1073"/>
      <c r="C84" s="1073"/>
      <c r="D84" s="1073"/>
      <c r="E84" s="1073"/>
      <c r="F84" s="1073"/>
      <c r="G84" s="1073"/>
      <c r="H84" s="1073"/>
      <c r="I84" s="1073"/>
      <c r="J84" s="1073"/>
      <c r="K84" s="1074"/>
      <c r="L84" s="1110"/>
      <c r="M84" s="1111"/>
      <c r="N84" s="1111"/>
      <c r="O84" s="1111"/>
      <c r="P84" s="1111"/>
      <c r="Q84" s="1111"/>
      <c r="R84" s="1112"/>
      <c r="S84" s="1110"/>
      <c r="T84" s="1111"/>
      <c r="U84" s="1112"/>
      <c r="V84" s="1110"/>
      <c r="W84" s="1111"/>
      <c r="X84" s="1111"/>
      <c r="Y84" s="1112"/>
      <c r="Z84" s="1110"/>
      <c r="AA84" s="1111"/>
      <c r="AB84" s="1111"/>
      <c r="AC84" s="1112"/>
      <c r="AD84" s="1048" t="s">
        <v>895</v>
      </c>
      <c r="AE84" s="1049"/>
      <c r="AF84" s="1049"/>
      <c r="AG84" s="1049"/>
      <c r="AH84" s="1050"/>
    </row>
    <row r="85" spans="1:34" ht="11.85" customHeight="1">
      <c r="A85" s="1057" t="s">
        <v>2702</v>
      </c>
      <c r="B85" s="1058"/>
      <c r="C85" s="1058"/>
      <c r="D85" s="1058"/>
      <c r="E85" s="1058"/>
      <c r="F85" s="1058"/>
      <c r="G85" s="1058"/>
      <c r="H85" s="1058"/>
      <c r="I85" s="1058"/>
      <c r="J85" s="1058"/>
      <c r="K85" s="1059"/>
      <c r="L85" s="1048" t="s">
        <v>895</v>
      </c>
      <c r="M85" s="1049"/>
      <c r="N85" s="1049"/>
      <c r="O85" s="1049"/>
      <c r="P85" s="1049"/>
      <c r="Q85" s="1049"/>
      <c r="R85" s="1050"/>
      <c r="S85" s="1048" t="s">
        <v>895</v>
      </c>
      <c r="T85" s="1049"/>
      <c r="U85" s="1050"/>
      <c r="V85" s="1048" t="s">
        <v>895</v>
      </c>
      <c r="W85" s="1049"/>
      <c r="X85" s="1049"/>
      <c r="Y85" s="1050"/>
      <c r="Z85" s="1048" t="s">
        <v>895</v>
      </c>
      <c r="AA85" s="1049"/>
      <c r="AB85" s="1049"/>
      <c r="AC85" s="1050"/>
      <c r="AD85" s="1054" t="s">
        <v>895</v>
      </c>
      <c r="AE85" s="1055"/>
      <c r="AF85" s="1055"/>
      <c r="AG85" s="1055"/>
      <c r="AH85" s="1056"/>
    </row>
    <row r="86" spans="1:34" ht="11.1" customHeight="1">
      <c r="A86" s="1066" t="s">
        <v>2703</v>
      </c>
      <c r="B86" s="1067"/>
      <c r="C86" s="1067"/>
      <c r="D86" s="1067"/>
      <c r="E86" s="1067"/>
      <c r="F86" s="1067"/>
      <c r="G86" s="1067"/>
      <c r="H86" s="1067"/>
      <c r="I86" s="1067"/>
      <c r="J86" s="1067"/>
      <c r="K86" s="1068"/>
      <c r="L86" s="1069" t="s">
        <v>895</v>
      </c>
      <c r="M86" s="1070"/>
      <c r="N86" s="1070"/>
      <c r="O86" s="1070"/>
      <c r="P86" s="1070"/>
      <c r="Q86" s="1070"/>
      <c r="R86" s="1071"/>
      <c r="S86" s="1069" t="s">
        <v>895</v>
      </c>
      <c r="T86" s="1070"/>
      <c r="U86" s="1071"/>
      <c r="V86" s="1069" t="s">
        <v>895</v>
      </c>
      <c r="W86" s="1070"/>
      <c r="X86" s="1070"/>
      <c r="Y86" s="1071"/>
      <c r="Z86" s="1069" t="s">
        <v>895</v>
      </c>
      <c r="AA86" s="1070"/>
      <c r="AB86" s="1070"/>
      <c r="AC86" s="1071"/>
      <c r="AD86" s="1069" t="s">
        <v>895</v>
      </c>
      <c r="AE86" s="1070"/>
      <c r="AF86" s="1070"/>
      <c r="AG86" s="1070"/>
      <c r="AH86" s="1071"/>
    </row>
    <row r="87" spans="1:34" ht="11.85" customHeight="1">
      <c r="A87" s="1081" t="s">
        <v>2704</v>
      </c>
      <c r="B87" s="1082"/>
      <c r="C87" s="1082"/>
      <c r="D87" s="1082"/>
      <c r="E87" s="1082"/>
      <c r="F87" s="1082"/>
      <c r="G87" s="1082"/>
      <c r="H87" s="1082"/>
      <c r="I87" s="1082"/>
      <c r="J87" s="1082"/>
      <c r="K87" s="1083"/>
      <c r="L87" s="1084" t="s">
        <v>895</v>
      </c>
      <c r="M87" s="1086"/>
      <c r="N87" s="1086"/>
      <c r="O87" s="1086"/>
      <c r="P87" s="1086"/>
      <c r="Q87" s="1086"/>
      <c r="R87" s="1085"/>
      <c r="S87" s="1084" t="s">
        <v>895</v>
      </c>
      <c r="T87" s="1086"/>
      <c r="U87" s="1085"/>
      <c r="V87" s="1084" t="s">
        <v>895</v>
      </c>
      <c r="W87" s="1086"/>
      <c r="X87" s="1086"/>
      <c r="Y87" s="1085"/>
      <c r="Z87" s="1084" t="s">
        <v>895</v>
      </c>
      <c r="AA87" s="1086"/>
      <c r="AB87" s="1086"/>
      <c r="AC87" s="1085"/>
      <c r="AD87" s="1084" t="s">
        <v>895</v>
      </c>
      <c r="AE87" s="1086"/>
      <c r="AF87" s="1086"/>
      <c r="AG87" s="1086"/>
      <c r="AH87" s="1085"/>
    </row>
    <row r="88" spans="1:34" ht="11.85" customHeight="1">
      <c r="A88" s="778"/>
      <c r="B88" s="778"/>
      <c r="C88" s="778"/>
      <c r="D88" s="778"/>
      <c r="E88" s="778"/>
      <c r="F88" s="778"/>
      <c r="G88" s="778"/>
      <c r="H88" s="778"/>
      <c r="I88" s="778"/>
      <c r="J88" s="778"/>
      <c r="K88" s="778"/>
      <c r="L88" s="778"/>
      <c r="M88" s="778"/>
      <c r="N88" s="778"/>
      <c r="O88" s="778"/>
      <c r="P88" s="778"/>
      <c r="Q88" s="778"/>
      <c r="R88" s="778"/>
      <c r="S88" s="778"/>
      <c r="T88" s="778"/>
      <c r="U88" s="778"/>
      <c r="V88" s="778"/>
      <c r="W88" s="778"/>
      <c r="X88" s="778"/>
      <c r="Y88" s="778"/>
      <c r="Z88" s="778"/>
      <c r="AA88" s="778"/>
      <c r="AB88" s="778"/>
      <c r="AC88" s="778"/>
      <c r="AD88" s="778"/>
      <c r="AE88" s="778"/>
      <c r="AF88" s="778"/>
      <c r="AG88" s="778"/>
      <c r="AH88" s="778"/>
    </row>
    <row r="89" spans="1:34" ht="17.100000000000001" customHeight="1"/>
    <row r="90" spans="1:34" ht="11.85" customHeight="1">
      <c r="A90" s="779" t="s">
        <v>2640</v>
      </c>
      <c r="B90" s="779"/>
      <c r="C90" s="779"/>
      <c r="D90" s="779"/>
      <c r="E90" s="779"/>
      <c r="F90" s="779"/>
      <c r="G90" s="779"/>
      <c r="H90" s="779"/>
      <c r="I90" s="779"/>
      <c r="J90" s="779"/>
      <c r="K90" s="779"/>
      <c r="L90" s="779"/>
      <c r="M90" s="779"/>
      <c r="N90" s="779"/>
      <c r="O90" s="779"/>
      <c r="P90" s="779"/>
      <c r="Q90" s="779"/>
      <c r="R90" s="779"/>
      <c r="S90" s="779"/>
      <c r="T90" s="779"/>
      <c r="U90" s="779"/>
      <c r="V90" s="779"/>
      <c r="W90" s="779"/>
      <c r="X90" s="779"/>
      <c r="Y90" s="779"/>
      <c r="Z90" s="779"/>
      <c r="AA90" s="779"/>
      <c r="AB90" s="779"/>
      <c r="AC90" s="779"/>
      <c r="AD90" s="779"/>
      <c r="AE90" s="779"/>
      <c r="AF90" s="779"/>
      <c r="AG90" s="779"/>
    </row>
    <row r="91" spans="1:34" ht="5.85" customHeight="1"/>
    <row r="92" spans="1:34" ht="11.85" customHeight="1">
      <c r="A92" s="740" t="s">
        <v>1405</v>
      </c>
      <c r="B92" s="740"/>
      <c r="C92" s="740"/>
      <c r="D92" s="740"/>
      <c r="E92" s="740"/>
      <c r="F92" s="740"/>
      <c r="G92" s="740"/>
      <c r="AG92" s="512" t="s">
        <v>1933</v>
      </c>
    </row>
    <row r="93" spans="1:34" ht="11.1" customHeight="1">
      <c r="A93" s="740" t="s">
        <v>882</v>
      </c>
      <c r="B93" s="740"/>
      <c r="C93" s="740"/>
      <c r="D93" s="740"/>
      <c r="E93" s="740"/>
      <c r="F93" s="740"/>
      <c r="G93" s="740"/>
    </row>
    <row r="94" spans="1:34" ht="11.85" customHeight="1">
      <c r="A94" s="742" t="s">
        <v>2522</v>
      </c>
      <c r="B94" s="742"/>
      <c r="C94" s="742"/>
      <c r="D94" s="742"/>
      <c r="E94" s="742"/>
      <c r="F94" s="742"/>
      <c r="G94" s="742"/>
    </row>
    <row r="95" spans="1:34" ht="11.85" customHeight="1">
      <c r="A95" s="740" t="s">
        <v>1310</v>
      </c>
      <c r="B95" s="740"/>
      <c r="C95" s="740"/>
      <c r="D95" s="740"/>
      <c r="E95" s="740"/>
      <c r="F95" s="740"/>
      <c r="G95" s="740"/>
    </row>
    <row r="96" spans="1:34" ht="11.85" customHeight="1">
      <c r="A96" s="740" t="s">
        <v>885</v>
      </c>
      <c r="B96" s="740"/>
      <c r="C96" s="740"/>
      <c r="D96" s="740"/>
      <c r="E96" s="740"/>
      <c r="F96" s="740"/>
      <c r="G96" s="740"/>
    </row>
    <row r="97" spans="1:34" ht="5.85" customHeight="1"/>
    <row r="98" spans="1:34" ht="11.1" customHeight="1">
      <c r="A98" s="810" t="s">
        <v>2523</v>
      </c>
      <c r="B98" s="810"/>
      <c r="C98" s="810"/>
      <c r="D98" s="810"/>
      <c r="E98" s="810"/>
      <c r="F98" s="810"/>
      <c r="G98" s="810"/>
      <c r="H98" s="502"/>
      <c r="I98" s="502"/>
      <c r="J98" s="502"/>
      <c r="K98" s="502"/>
      <c r="L98" s="502"/>
      <c r="M98" s="502"/>
      <c r="N98" s="502"/>
      <c r="O98" s="502"/>
      <c r="P98" s="502"/>
      <c r="Q98" s="502"/>
      <c r="R98" s="502"/>
      <c r="S98" s="502"/>
      <c r="T98" s="502"/>
      <c r="U98" s="502"/>
      <c r="V98" s="502"/>
      <c r="W98" s="502"/>
      <c r="X98" s="502"/>
      <c r="Y98" s="502"/>
      <c r="Z98" s="502"/>
      <c r="AA98" s="502"/>
      <c r="AB98" s="502"/>
      <c r="AC98" s="502"/>
      <c r="AD98" s="502"/>
      <c r="AE98" s="502"/>
      <c r="AF98" s="502"/>
      <c r="AG98" s="502"/>
      <c r="AH98" s="502"/>
    </row>
    <row r="99" spans="1:34" ht="17.850000000000001" customHeight="1">
      <c r="A99" s="751" t="s">
        <v>2705</v>
      </c>
      <c r="B99" s="1043"/>
      <c r="C99" s="1043"/>
      <c r="D99" s="1043"/>
      <c r="E99" s="1043"/>
      <c r="F99" s="1043"/>
      <c r="G99" s="1043"/>
      <c r="H99" s="1043"/>
      <c r="I99" s="1043"/>
      <c r="J99" s="1043"/>
      <c r="K99" s="1043"/>
      <c r="L99" s="1043"/>
      <c r="M99" s="1043"/>
      <c r="N99" s="1043"/>
      <c r="O99" s="1043"/>
      <c r="P99" s="1043"/>
      <c r="Q99" s="1043"/>
      <c r="R99" s="1043"/>
      <c r="S99" s="1043"/>
      <c r="T99" s="1043"/>
      <c r="U99" s="1043"/>
      <c r="V99" s="1043"/>
      <c r="W99" s="1043"/>
      <c r="X99" s="1043"/>
      <c r="Y99" s="1043"/>
      <c r="Z99" s="1043"/>
      <c r="AA99" s="1043"/>
      <c r="AB99" s="1043"/>
      <c r="AC99" s="1043"/>
      <c r="AD99" s="1043"/>
      <c r="AE99" s="1043"/>
      <c r="AF99" s="1043"/>
      <c r="AG99" s="1043"/>
      <c r="AH99" s="1044"/>
    </row>
    <row r="100" spans="1:34" ht="40.700000000000003" customHeight="1">
      <c r="A100" s="1032" t="s">
        <v>2706</v>
      </c>
      <c r="B100" s="1088"/>
      <c r="C100" s="521" t="s">
        <v>2707</v>
      </c>
      <c r="D100" s="521" t="s">
        <v>2708</v>
      </c>
      <c r="E100" s="757" t="s">
        <v>2709</v>
      </c>
      <c r="F100" s="759"/>
      <c r="G100" s="757" t="s">
        <v>2710</v>
      </c>
      <c r="H100" s="759"/>
      <c r="I100" s="757" t="s">
        <v>2711</v>
      </c>
      <c r="J100" s="758"/>
      <c r="K100" s="758"/>
      <c r="L100" s="758"/>
      <c r="M100" s="759"/>
      <c r="N100" s="757" t="s">
        <v>2712</v>
      </c>
      <c r="O100" s="758"/>
      <c r="P100" s="758"/>
      <c r="Q100" s="759"/>
      <c r="R100" s="757" t="s">
        <v>2713</v>
      </c>
      <c r="S100" s="758"/>
      <c r="T100" s="758"/>
      <c r="U100" s="759"/>
      <c r="V100" s="757" t="s">
        <v>2714</v>
      </c>
      <c r="W100" s="758"/>
      <c r="X100" s="758"/>
      <c r="Y100" s="758"/>
      <c r="Z100" s="758"/>
      <c r="AA100" s="759"/>
      <c r="AB100" s="757" t="s">
        <v>2715</v>
      </c>
      <c r="AC100" s="758"/>
      <c r="AD100" s="758"/>
      <c r="AE100" s="759"/>
      <c r="AF100" s="757" t="s">
        <v>2716</v>
      </c>
      <c r="AG100" s="758"/>
      <c r="AH100" s="759"/>
    </row>
    <row r="101" spans="1:34" ht="11.85" customHeight="1">
      <c r="A101" s="1072" t="s">
        <v>2717</v>
      </c>
      <c r="B101" s="1074"/>
      <c r="C101" s="587" t="s">
        <v>2685</v>
      </c>
      <c r="D101" s="587" t="s">
        <v>1186</v>
      </c>
      <c r="E101" s="1048" t="s">
        <v>2688</v>
      </c>
      <c r="F101" s="1050"/>
      <c r="G101" s="1048" t="s">
        <v>895</v>
      </c>
      <c r="H101" s="1050"/>
      <c r="I101" s="1048" t="s">
        <v>895</v>
      </c>
      <c r="J101" s="1049"/>
      <c r="K101" s="1049"/>
      <c r="L101" s="1049"/>
      <c r="M101" s="1050"/>
      <c r="N101" s="1048" t="s">
        <v>895</v>
      </c>
      <c r="O101" s="1049"/>
      <c r="P101" s="1049"/>
      <c r="Q101" s="1050"/>
      <c r="R101" s="1048" t="s">
        <v>895</v>
      </c>
      <c r="S101" s="1049"/>
      <c r="T101" s="1049"/>
      <c r="U101" s="1050"/>
      <c r="V101" s="1048" t="s">
        <v>895</v>
      </c>
      <c r="W101" s="1049"/>
      <c r="X101" s="1049"/>
      <c r="Y101" s="1049"/>
      <c r="Z101" s="1049"/>
      <c r="AA101" s="1050"/>
      <c r="AB101" s="1048" t="s">
        <v>895</v>
      </c>
      <c r="AC101" s="1049"/>
      <c r="AD101" s="1049"/>
      <c r="AE101" s="1050"/>
      <c r="AF101" s="1048" t="s">
        <v>2688</v>
      </c>
      <c r="AG101" s="1049"/>
      <c r="AH101" s="1050"/>
    </row>
    <row r="102" spans="1:34" ht="11.85" customHeight="1">
      <c r="A102" s="1057" t="s">
        <v>2718</v>
      </c>
      <c r="B102" s="1059"/>
      <c r="C102" s="588" t="s">
        <v>895</v>
      </c>
      <c r="D102" s="588" t="s">
        <v>895</v>
      </c>
      <c r="E102" s="1054" t="s">
        <v>895</v>
      </c>
      <c r="F102" s="1056"/>
      <c r="G102" s="1054" t="s">
        <v>895</v>
      </c>
      <c r="H102" s="1056"/>
      <c r="I102" s="1054" t="s">
        <v>895</v>
      </c>
      <c r="J102" s="1055"/>
      <c r="K102" s="1055"/>
      <c r="L102" s="1055"/>
      <c r="M102" s="1056"/>
      <c r="N102" s="1054" t="s">
        <v>895</v>
      </c>
      <c r="O102" s="1055"/>
      <c r="P102" s="1055"/>
      <c r="Q102" s="1056"/>
      <c r="R102" s="1054" t="s">
        <v>895</v>
      </c>
      <c r="S102" s="1055"/>
      <c r="T102" s="1055"/>
      <c r="U102" s="1056"/>
      <c r="V102" s="1054" t="s">
        <v>895</v>
      </c>
      <c r="W102" s="1055"/>
      <c r="X102" s="1055"/>
      <c r="Y102" s="1055"/>
      <c r="Z102" s="1055"/>
      <c r="AA102" s="1056"/>
      <c r="AB102" s="1054" t="s">
        <v>895</v>
      </c>
      <c r="AC102" s="1055"/>
      <c r="AD102" s="1055"/>
      <c r="AE102" s="1056"/>
      <c r="AF102" s="1054" t="s">
        <v>895</v>
      </c>
      <c r="AG102" s="1055"/>
      <c r="AH102" s="1056"/>
    </row>
    <row r="103" spans="1:34" ht="11.1" customHeight="1">
      <c r="A103" s="1057" t="s">
        <v>2719</v>
      </c>
      <c r="B103" s="1059"/>
      <c r="C103" s="588" t="s">
        <v>895</v>
      </c>
      <c r="D103" s="588" t="s">
        <v>895</v>
      </c>
      <c r="E103" s="1054" t="s">
        <v>895</v>
      </c>
      <c r="F103" s="1056"/>
      <c r="G103" s="1054" t="s">
        <v>895</v>
      </c>
      <c r="H103" s="1056"/>
      <c r="I103" s="1054" t="s">
        <v>895</v>
      </c>
      <c r="J103" s="1055"/>
      <c r="K103" s="1055"/>
      <c r="L103" s="1055"/>
      <c r="M103" s="1056"/>
      <c r="N103" s="1054" t="s">
        <v>895</v>
      </c>
      <c r="O103" s="1055"/>
      <c r="P103" s="1055"/>
      <c r="Q103" s="1056"/>
      <c r="R103" s="1054" t="s">
        <v>895</v>
      </c>
      <c r="S103" s="1055"/>
      <c r="T103" s="1055"/>
      <c r="U103" s="1056"/>
      <c r="V103" s="1054" t="s">
        <v>895</v>
      </c>
      <c r="W103" s="1055"/>
      <c r="X103" s="1055"/>
      <c r="Y103" s="1055"/>
      <c r="Z103" s="1055"/>
      <c r="AA103" s="1056"/>
      <c r="AB103" s="1054" t="s">
        <v>895</v>
      </c>
      <c r="AC103" s="1055"/>
      <c r="AD103" s="1055"/>
      <c r="AE103" s="1056"/>
      <c r="AF103" s="1054" t="s">
        <v>895</v>
      </c>
      <c r="AG103" s="1055"/>
      <c r="AH103" s="1056"/>
    </row>
    <row r="104" spans="1:34" ht="11.85" customHeight="1">
      <c r="A104" s="1057" t="s">
        <v>2720</v>
      </c>
      <c r="B104" s="1059"/>
      <c r="C104" s="588" t="s">
        <v>895</v>
      </c>
      <c r="D104" s="588" t="s">
        <v>895</v>
      </c>
      <c r="E104" s="1054" t="s">
        <v>895</v>
      </c>
      <c r="F104" s="1056"/>
      <c r="G104" s="1054" t="s">
        <v>895</v>
      </c>
      <c r="H104" s="1056"/>
      <c r="I104" s="1054" t="s">
        <v>895</v>
      </c>
      <c r="J104" s="1055"/>
      <c r="K104" s="1055"/>
      <c r="L104" s="1055"/>
      <c r="M104" s="1056"/>
      <c r="N104" s="1054" t="s">
        <v>895</v>
      </c>
      <c r="O104" s="1055"/>
      <c r="P104" s="1055"/>
      <c r="Q104" s="1056"/>
      <c r="R104" s="1054" t="s">
        <v>895</v>
      </c>
      <c r="S104" s="1055"/>
      <c r="T104" s="1055"/>
      <c r="U104" s="1056"/>
      <c r="V104" s="1054" t="s">
        <v>895</v>
      </c>
      <c r="W104" s="1055"/>
      <c r="X104" s="1055"/>
      <c r="Y104" s="1055"/>
      <c r="Z104" s="1055"/>
      <c r="AA104" s="1056"/>
      <c r="AB104" s="1054" t="s">
        <v>895</v>
      </c>
      <c r="AC104" s="1055"/>
      <c r="AD104" s="1055"/>
      <c r="AE104" s="1056"/>
      <c r="AF104" s="1054" t="s">
        <v>895</v>
      </c>
      <c r="AG104" s="1055"/>
      <c r="AH104" s="1056"/>
    </row>
    <row r="105" spans="1:34" ht="11.85" customHeight="1">
      <c r="A105" s="1057" t="s">
        <v>2721</v>
      </c>
      <c r="B105" s="1059"/>
      <c r="C105" s="588" t="s">
        <v>895</v>
      </c>
      <c r="D105" s="588" t="s">
        <v>895</v>
      </c>
      <c r="E105" s="1054" t="s">
        <v>895</v>
      </c>
      <c r="F105" s="1056"/>
      <c r="G105" s="1054" t="s">
        <v>895</v>
      </c>
      <c r="H105" s="1056"/>
      <c r="I105" s="1054" t="s">
        <v>895</v>
      </c>
      <c r="J105" s="1055"/>
      <c r="K105" s="1055"/>
      <c r="L105" s="1055"/>
      <c r="M105" s="1056"/>
      <c r="N105" s="1054" t="s">
        <v>895</v>
      </c>
      <c r="O105" s="1055"/>
      <c r="P105" s="1055"/>
      <c r="Q105" s="1056"/>
      <c r="R105" s="1054" t="s">
        <v>895</v>
      </c>
      <c r="S105" s="1055"/>
      <c r="T105" s="1055"/>
      <c r="U105" s="1056"/>
      <c r="V105" s="1054" t="s">
        <v>895</v>
      </c>
      <c r="W105" s="1055"/>
      <c r="X105" s="1055"/>
      <c r="Y105" s="1055"/>
      <c r="Z105" s="1055"/>
      <c r="AA105" s="1056"/>
      <c r="AB105" s="1054" t="s">
        <v>895</v>
      </c>
      <c r="AC105" s="1055"/>
      <c r="AD105" s="1055"/>
      <c r="AE105" s="1056"/>
      <c r="AF105" s="1054" t="s">
        <v>895</v>
      </c>
      <c r="AG105" s="1055"/>
      <c r="AH105" s="1056"/>
    </row>
    <row r="106" spans="1:34" ht="11.85" customHeight="1">
      <c r="A106" s="1057" t="s">
        <v>2722</v>
      </c>
      <c r="B106" s="1059"/>
      <c r="C106" s="588" t="s">
        <v>895</v>
      </c>
      <c r="D106" s="588" t="s">
        <v>895</v>
      </c>
      <c r="E106" s="1054" t="s">
        <v>895</v>
      </c>
      <c r="F106" s="1056"/>
      <c r="G106" s="1054" t="s">
        <v>895</v>
      </c>
      <c r="H106" s="1056"/>
      <c r="I106" s="1054" t="s">
        <v>895</v>
      </c>
      <c r="J106" s="1055"/>
      <c r="K106" s="1055"/>
      <c r="L106" s="1055"/>
      <c r="M106" s="1056"/>
      <c r="N106" s="1054" t="s">
        <v>895</v>
      </c>
      <c r="O106" s="1055"/>
      <c r="P106" s="1055"/>
      <c r="Q106" s="1056"/>
      <c r="R106" s="1054" t="s">
        <v>895</v>
      </c>
      <c r="S106" s="1055"/>
      <c r="T106" s="1055"/>
      <c r="U106" s="1056"/>
      <c r="V106" s="1054" t="s">
        <v>895</v>
      </c>
      <c r="W106" s="1055"/>
      <c r="X106" s="1055"/>
      <c r="Y106" s="1055"/>
      <c r="Z106" s="1055"/>
      <c r="AA106" s="1056"/>
      <c r="AB106" s="1054" t="s">
        <v>895</v>
      </c>
      <c r="AC106" s="1055"/>
      <c r="AD106" s="1055"/>
      <c r="AE106" s="1056"/>
      <c r="AF106" s="1054" t="s">
        <v>895</v>
      </c>
      <c r="AG106" s="1055"/>
      <c r="AH106" s="1056"/>
    </row>
    <row r="107" spans="1:34" ht="11.1" customHeight="1">
      <c r="A107" s="1057" t="s">
        <v>2723</v>
      </c>
      <c r="B107" s="1059"/>
      <c r="C107" s="588" t="s">
        <v>895</v>
      </c>
      <c r="D107" s="588" t="s">
        <v>895</v>
      </c>
      <c r="E107" s="1054" t="s">
        <v>895</v>
      </c>
      <c r="F107" s="1056"/>
      <c r="G107" s="1054" t="s">
        <v>895</v>
      </c>
      <c r="H107" s="1056"/>
      <c r="I107" s="1054" t="s">
        <v>895</v>
      </c>
      <c r="J107" s="1055"/>
      <c r="K107" s="1055"/>
      <c r="L107" s="1055"/>
      <c r="M107" s="1056"/>
      <c r="N107" s="1054" t="s">
        <v>895</v>
      </c>
      <c r="O107" s="1055"/>
      <c r="P107" s="1055"/>
      <c r="Q107" s="1056"/>
      <c r="R107" s="1054" t="s">
        <v>895</v>
      </c>
      <c r="S107" s="1055"/>
      <c r="T107" s="1055"/>
      <c r="U107" s="1056"/>
      <c r="V107" s="1054" t="s">
        <v>895</v>
      </c>
      <c r="W107" s="1055"/>
      <c r="X107" s="1055"/>
      <c r="Y107" s="1055"/>
      <c r="Z107" s="1055"/>
      <c r="AA107" s="1056"/>
      <c r="AB107" s="1054" t="s">
        <v>895</v>
      </c>
      <c r="AC107" s="1055"/>
      <c r="AD107" s="1055"/>
      <c r="AE107" s="1056"/>
      <c r="AF107" s="1054" t="s">
        <v>895</v>
      </c>
      <c r="AG107" s="1055"/>
      <c r="AH107" s="1056"/>
    </row>
    <row r="108" spans="1:34" ht="11.85" customHeight="1">
      <c r="A108" s="1057" t="s">
        <v>2724</v>
      </c>
      <c r="B108" s="1059"/>
      <c r="C108" s="588" t="s">
        <v>895</v>
      </c>
      <c r="D108" s="588" t="s">
        <v>895</v>
      </c>
      <c r="E108" s="1054" t="s">
        <v>895</v>
      </c>
      <c r="F108" s="1056"/>
      <c r="G108" s="1054" t="s">
        <v>895</v>
      </c>
      <c r="H108" s="1056"/>
      <c r="I108" s="1054" t="s">
        <v>895</v>
      </c>
      <c r="J108" s="1055"/>
      <c r="K108" s="1055"/>
      <c r="L108" s="1055"/>
      <c r="M108" s="1056"/>
      <c r="N108" s="1054" t="s">
        <v>895</v>
      </c>
      <c r="O108" s="1055"/>
      <c r="P108" s="1055"/>
      <c r="Q108" s="1056"/>
      <c r="R108" s="1054" t="s">
        <v>895</v>
      </c>
      <c r="S108" s="1055"/>
      <c r="T108" s="1055"/>
      <c r="U108" s="1056"/>
      <c r="V108" s="1054" t="s">
        <v>895</v>
      </c>
      <c r="W108" s="1055"/>
      <c r="X108" s="1055"/>
      <c r="Y108" s="1055"/>
      <c r="Z108" s="1055"/>
      <c r="AA108" s="1056"/>
      <c r="AB108" s="1054" t="s">
        <v>895</v>
      </c>
      <c r="AC108" s="1055"/>
      <c r="AD108" s="1055"/>
      <c r="AE108" s="1056"/>
      <c r="AF108" s="1054" t="s">
        <v>895</v>
      </c>
      <c r="AG108" s="1055"/>
      <c r="AH108" s="1056"/>
    </row>
    <row r="109" spans="1:34" ht="11.85" customHeight="1">
      <c r="A109" s="1066" t="s">
        <v>2725</v>
      </c>
      <c r="B109" s="1068"/>
      <c r="C109" s="589" t="s">
        <v>895</v>
      </c>
      <c r="D109" s="589" t="s">
        <v>895</v>
      </c>
      <c r="E109" s="1069" t="s">
        <v>895</v>
      </c>
      <c r="F109" s="1071"/>
      <c r="G109" s="1069" t="s">
        <v>895</v>
      </c>
      <c r="H109" s="1071"/>
      <c r="I109" s="1069" t="s">
        <v>895</v>
      </c>
      <c r="J109" s="1070"/>
      <c r="K109" s="1070"/>
      <c r="L109" s="1070"/>
      <c r="M109" s="1071"/>
      <c r="N109" s="1069" t="s">
        <v>895</v>
      </c>
      <c r="O109" s="1070"/>
      <c r="P109" s="1070"/>
      <c r="Q109" s="1071"/>
      <c r="R109" s="1069" t="s">
        <v>895</v>
      </c>
      <c r="S109" s="1070"/>
      <c r="T109" s="1070"/>
      <c r="U109" s="1071"/>
      <c r="V109" s="1069" t="s">
        <v>895</v>
      </c>
      <c r="W109" s="1070"/>
      <c r="X109" s="1070"/>
      <c r="Y109" s="1070"/>
      <c r="Z109" s="1070"/>
      <c r="AA109" s="1071"/>
      <c r="AB109" s="1069" t="s">
        <v>895</v>
      </c>
      <c r="AC109" s="1070"/>
      <c r="AD109" s="1070"/>
      <c r="AE109" s="1071"/>
      <c r="AF109" s="1054" t="s">
        <v>895</v>
      </c>
      <c r="AG109" s="1070"/>
      <c r="AH109" s="1056"/>
    </row>
    <row r="110" spans="1:34" ht="11.85" customHeight="1">
      <c r="A110" s="1116"/>
      <c r="B110" s="838"/>
      <c r="C110" s="838"/>
      <c r="D110" s="838"/>
      <c r="E110" s="838"/>
      <c r="F110" s="838"/>
      <c r="G110" s="838"/>
      <c r="H110" s="838"/>
      <c r="I110" s="838"/>
      <c r="J110" s="838"/>
      <c r="K110" s="838"/>
      <c r="L110" s="838"/>
      <c r="M110" s="838"/>
      <c r="N110" s="838"/>
      <c r="O110" s="838"/>
      <c r="P110" s="838"/>
      <c r="Q110" s="838"/>
      <c r="R110" s="838"/>
      <c r="S110" s="838"/>
      <c r="T110" s="838"/>
      <c r="U110" s="838"/>
      <c r="V110" s="838"/>
      <c r="W110" s="838"/>
      <c r="X110" s="838"/>
      <c r="Y110" s="838"/>
      <c r="Z110" s="838"/>
      <c r="AA110" s="838"/>
      <c r="AB110" s="838"/>
      <c r="AC110" s="838"/>
      <c r="AD110" s="838"/>
      <c r="AE110" s="838"/>
      <c r="AF110" s="838"/>
      <c r="AG110" s="838"/>
      <c r="AH110" s="1116"/>
    </row>
    <row r="111" spans="1:34" ht="11.1" customHeight="1">
      <c r="A111" s="780" t="s">
        <v>2726</v>
      </c>
      <c r="B111" s="1117"/>
      <c r="C111" s="1117"/>
      <c r="D111" s="1117"/>
      <c r="E111" s="1117"/>
      <c r="F111" s="1117"/>
      <c r="G111" s="1117"/>
      <c r="H111" s="1117"/>
      <c r="I111" s="1117"/>
      <c r="J111" s="1117"/>
      <c r="K111" s="1117"/>
      <c r="L111" s="1117"/>
      <c r="M111" s="1117"/>
      <c r="N111" s="1117"/>
      <c r="O111" s="1117"/>
      <c r="P111" s="1117"/>
      <c r="Q111" s="1117"/>
      <c r="R111" s="1117"/>
      <c r="S111" s="1117"/>
      <c r="T111" s="1117"/>
      <c r="U111" s="1117"/>
      <c r="V111" s="1117"/>
      <c r="W111" s="1117"/>
      <c r="X111" s="1117"/>
      <c r="Y111" s="1117"/>
      <c r="Z111" s="1117"/>
      <c r="AA111" s="1117"/>
      <c r="AB111" s="1117"/>
      <c r="AC111" s="1117"/>
      <c r="AD111" s="1117"/>
      <c r="AE111" s="1118"/>
      <c r="AF111" s="1119" t="s">
        <v>895</v>
      </c>
      <c r="AG111" s="1120"/>
      <c r="AH111" s="1121"/>
    </row>
    <row r="112" spans="1:34" ht="11.85" customHeight="1">
      <c r="A112" s="780" t="s">
        <v>2727</v>
      </c>
      <c r="B112" s="1117"/>
      <c r="C112" s="1117"/>
      <c r="D112" s="1117"/>
      <c r="E112" s="1117"/>
      <c r="F112" s="1117"/>
      <c r="G112" s="1117"/>
      <c r="H112" s="1117"/>
      <c r="I112" s="1117"/>
      <c r="J112" s="1117"/>
      <c r="K112" s="1117"/>
      <c r="L112" s="1117"/>
      <c r="M112" s="1117"/>
      <c r="N112" s="1117"/>
      <c r="O112" s="1117"/>
      <c r="P112" s="1117"/>
      <c r="Q112" s="1117"/>
      <c r="R112" s="1117"/>
      <c r="S112" s="1117"/>
      <c r="T112" s="1117"/>
      <c r="U112" s="1117"/>
      <c r="V112" s="1117"/>
      <c r="W112" s="1117"/>
      <c r="X112" s="1117"/>
      <c r="Y112" s="1117"/>
      <c r="Z112" s="1117"/>
      <c r="AA112" s="1117"/>
      <c r="AB112" s="1117"/>
      <c r="AC112" s="1117"/>
      <c r="AD112" s="1117"/>
      <c r="AE112" s="1118"/>
      <c r="AF112" s="1119" t="s">
        <v>895</v>
      </c>
      <c r="AG112" s="1120"/>
      <c r="AH112" s="1121"/>
    </row>
    <row r="113" spans="1:34" ht="11.85" customHeight="1">
      <c r="A113" s="780" t="s">
        <v>2728</v>
      </c>
      <c r="B113" s="1117"/>
      <c r="C113" s="1117"/>
      <c r="D113" s="1117"/>
      <c r="E113" s="1117"/>
      <c r="F113" s="1117"/>
      <c r="G113" s="1117"/>
      <c r="H113" s="1117"/>
      <c r="I113" s="1117"/>
      <c r="J113" s="1117"/>
      <c r="K113" s="1117"/>
      <c r="L113" s="1117"/>
      <c r="M113" s="1117"/>
      <c r="N113" s="1117"/>
      <c r="O113" s="1117"/>
      <c r="P113" s="1117"/>
      <c r="Q113" s="1117"/>
      <c r="R113" s="1117"/>
      <c r="S113" s="1117"/>
      <c r="T113" s="1117"/>
      <c r="U113" s="1117"/>
      <c r="V113" s="1117"/>
      <c r="W113" s="1117"/>
      <c r="X113" s="1117"/>
      <c r="Y113" s="1117"/>
      <c r="Z113" s="1117"/>
      <c r="AA113" s="1117"/>
      <c r="AB113" s="1117"/>
      <c r="AC113" s="1117"/>
      <c r="AD113" s="1117"/>
      <c r="AE113" s="1118"/>
      <c r="AF113" s="1119" t="s">
        <v>895</v>
      </c>
      <c r="AG113" s="1120"/>
      <c r="AH113" s="1121"/>
    </row>
    <row r="114" spans="1:34" ht="11.85" customHeight="1">
      <c r="A114" s="838"/>
      <c r="B114" s="838"/>
      <c r="C114" s="838"/>
      <c r="D114" s="838"/>
      <c r="E114" s="838"/>
      <c r="F114" s="838"/>
      <c r="G114" s="838"/>
      <c r="H114" s="838"/>
      <c r="I114" s="838"/>
      <c r="J114" s="838"/>
      <c r="K114" s="838"/>
      <c r="L114" s="838"/>
      <c r="M114" s="838"/>
      <c r="N114" s="838"/>
      <c r="O114" s="838"/>
      <c r="P114" s="838"/>
      <c r="Q114" s="838"/>
      <c r="R114" s="838"/>
      <c r="S114" s="838"/>
      <c r="T114" s="838"/>
      <c r="U114" s="838"/>
      <c r="V114" s="838"/>
      <c r="W114" s="838"/>
      <c r="X114" s="838"/>
      <c r="Y114" s="838"/>
      <c r="Z114" s="838"/>
      <c r="AA114" s="838"/>
      <c r="AB114" s="838"/>
      <c r="AC114" s="838"/>
      <c r="AD114" s="838"/>
      <c r="AE114" s="838"/>
      <c r="AF114" s="838"/>
      <c r="AG114" s="838"/>
      <c r="AH114" s="838"/>
    </row>
    <row r="115" spans="1:34" ht="11.1" customHeight="1">
      <c r="A115" s="1075" t="s">
        <v>2729</v>
      </c>
      <c r="B115" s="1076"/>
      <c r="C115" s="1076"/>
      <c r="D115" s="1076"/>
      <c r="E115" s="1076"/>
      <c r="F115" s="1076"/>
      <c r="G115" s="1076"/>
      <c r="H115" s="1076"/>
      <c r="I115" s="1076"/>
      <c r="J115" s="1077"/>
      <c r="K115" s="757" t="s">
        <v>2730</v>
      </c>
      <c r="L115" s="758"/>
      <c r="M115" s="758"/>
      <c r="N115" s="758"/>
      <c r="O115" s="758"/>
      <c r="P115" s="758"/>
      <c r="Q115" s="758"/>
      <c r="R115" s="758"/>
      <c r="S115" s="758"/>
      <c r="T115" s="758"/>
      <c r="U115" s="758"/>
      <c r="V115" s="758"/>
      <c r="W115" s="758"/>
      <c r="X115" s="758"/>
      <c r="Y115" s="758"/>
      <c r="Z115" s="758"/>
      <c r="AA115" s="758"/>
      <c r="AB115" s="758"/>
      <c r="AC115" s="758"/>
      <c r="AD115" s="758"/>
      <c r="AE115" s="758"/>
      <c r="AF115" s="758"/>
      <c r="AG115" s="758"/>
      <c r="AH115" s="759"/>
    </row>
    <row r="116" spans="1:34" ht="17.850000000000001" customHeight="1">
      <c r="A116" s="1113"/>
      <c r="B116" s="1114"/>
      <c r="C116" s="1114"/>
      <c r="D116" s="1114"/>
      <c r="E116" s="1114"/>
      <c r="F116" s="1114"/>
      <c r="G116" s="1114"/>
      <c r="H116" s="1114"/>
      <c r="I116" s="1114"/>
      <c r="J116" s="1115"/>
      <c r="K116" s="757" t="s">
        <v>2731</v>
      </c>
      <c r="L116" s="1038"/>
      <c r="M116" s="1038"/>
      <c r="N116" s="1038"/>
      <c r="O116" s="1038"/>
      <c r="P116" s="1038"/>
      <c r="Q116" s="1038"/>
      <c r="R116" s="1039"/>
      <c r="S116" s="757" t="s">
        <v>2696</v>
      </c>
      <c r="T116" s="758"/>
      <c r="U116" s="758"/>
      <c r="V116" s="758"/>
      <c r="W116" s="758"/>
      <c r="X116" s="758"/>
      <c r="Y116" s="758"/>
      <c r="Z116" s="758"/>
      <c r="AA116" s="758"/>
      <c r="AB116" s="758"/>
      <c r="AC116" s="759"/>
      <c r="AD116" s="757" t="s">
        <v>2732</v>
      </c>
      <c r="AE116" s="1038"/>
      <c r="AF116" s="1038"/>
      <c r="AG116" s="1038"/>
      <c r="AH116" s="1039"/>
    </row>
    <row r="117" spans="1:34" ht="22.9" customHeight="1">
      <c r="A117" s="1078"/>
      <c r="B117" s="1079"/>
      <c r="C117" s="1079"/>
      <c r="D117" s="1079"/>
      <c r="E117" s="1079"/>
      <c r="F117" s="1079"/>
      <c r="G117" s="1079"/>
      <c r="H117" s="1079"/>
      <c r="I117" s="1079"/>
      <c r="J117" s="1080"/>
      <c r="K117" s="1040"/>
      <c r="L117" s="1041"/>
      <c r="M117" s="1041"/>
      <c r="N117" s="1041"/>
      <c r="O117" s="1041"/>
      <c r="P117" s="1041"/>
      <c r="Q117" s="1041"/>
      <c r="R117" s="1042"/>
      <c r="S117" s="757" t="s">
        <v>2733</v>
      </c>
      <c r="T117" s="758"/>
      <c r="U117" s="759"/>
      <c r="V117" s="757" t="s">
        <v>2734</v>
      </c>
      <c r="W117" s="758"/>
      <c r="X117" s="758"/>
      <c r="Y117" s="759"/>
      <c r="Z117" s="757" t="s">
        <v>2735</v>
      </c>
      <c r="AA117" s="758"/>
      <c r="AB117" s="758"/>
      <c r="AC117" s="759"/>
      <c r="AD117" s="1040"/>
      <c r="AE117" s="1041"/>
      <c r="AF117" s="1041"/>
      <c r="AG117" s="1041"/>
      <c r="AH117" s="1042"/>
    </row>
    <row r="118" spans="1:34" ht="11.85" customHeight="1">
      <c r="A118" s="1072" t="s">
        <v>2736</v>
      </c>
      <c r="B118" s="1073"/>
      <c r="C118" s="1073"/>
      <c r="D118" s="1073"/>
      <c r="E118" s="1073"/>
      <c r="F118" s="1073"/>
      <c r="G118" s="1073"/>
      <c r="H118" s="1073"/>
      <c r="I118" s="1073"/>
      <c r="J118" s="1074"/>
      <c r="K118" s="1048" t="s">
        <v>895</v>
      </c>
      <c r="L118" s="1049"/>
      <c r="M118" s="1049"/>
      <c r="N118" s="1049"/>
      <c r="O118" s="1049"/>
      <c r="P118" s="1049"/>
      <c r="Q118" s="1049"/>
      <c r="R118" s="1050"/>
      <c r="S118" s="1048" t="s">
        <v>895</v>
      </c>
      <c r="T118" s="1049"/>
      <c r="U118" s="1050"/>
      <c r="V118" s="1048" t="s">
        <v>895</v>
      </c>
      <c r="W118" s="1049"/>
      <c r="X118" s="1049"/>
      <c r="Y118" s="1050"/>
      <c r="Z118" s="1048" t="s">
        <v>895</v>
      </c>
      <c r="AA118" s="1049"/>
      <c r="AB118" s="1049"/>
      <c r="AC118" s="1050"/>
      <c r="AD118" s="1048" t="s">
        <v>895</v>
      </c>
      <c r="AE118" s="1049"/>
      <c r="AF118" s="1049"/>
      <c r="AG118" s="1049"/>
      <c r="AH118" s="1050"/>
    </row>
    <row r="119" spans="1:34" ht="11.85" customHeight="1">
      <c r="A119" s="1057" t="s">
        <v>2737</v>
      </c>
      <c r="B119" s="1058"/>
      <c r="C119" s="1058"/>
      <c r="D119" s="1058"/>
      <c r="E119" s="1058"/>
      <c r="F119" s="1058"/>
      <c r="G119" s="1058"/>
      <c r="H119" s="1058"/>
      <c r="I119" s="1058"/>
      <c r="J119" s="1059"/>
      <c r="K119" s="1054" t="s">
        <v>2738</v>
      </c>
      <c r="L119" s="1055"/>
      <c r="M119" s="1055"/>
      <c r="N119" s="1055"/>
      <c r="O119" s="1055"/>
      <c r="P119" s="1055"/>
      <c r="Q119" s="1055"/>
      <c r="R119" s="1056"/>
      <c r="S119" s="1054" t="s">
        <v>895</v>
      </c>
      <c r="T119" s="1055"/>
      <c r="U119" s="1056"/>
      <c r="V119" s="1054" t="s">
        <v>895</v>
      </c>
      <c r="W119" s="1055"/>
      <c r="X119" s="1055"/>
      <c r="Y119" s="1056"/>
      <c r="Z119" s="1054" t="s">
        <v>895</v>
      </c>
      <c r="AA119" s="1055"/>
      <c r="AB119" s="1055"/>
      <c r="AC119" s="1056"/>
      <c r="AD119" s="1054" t="s">
        <v>2738</v>
      </c>
      <c r="AE119" s="1055"/>
      <c r="AF119" s="1055"/>
      <c r="AG119" s="1055"/>
      <c r="AH119" s="1056"/>
    </row>
    <row r="120" spans="1:34" ht="11.85" customHeight="1">
      <c r="A120" s="1066" t="s">
        <v>2739</v>
      </c>
      <c r="B120" s="1067"/>
      <c r="C120" s="1067"/>
      <c r="D120" s="1067"/>
      <c r="E120" s="1067"/>
      <c r="F120" s="1067"/>
      <c r="G120" s="1067"/>
      <c r="H120" s="1067"/>
      <c r="I120" s="1067"/>
      <c r="J120" s="1068"/>
      <c r="K120" s="1069" t="s">
        <v>2740</v>
      </c>
      <c r="L120" s="1070"/>
      <c r="M120" s="1070"/>
      <c r="N120" s="1070"/>
      <c r="O120" s="1070"/>
      <c r="P120" s="1070"/>
      <c r="Q120" s="1070"/>
      <c r="R120" s="1071"/>
      <c r="S120" s="1069" t="s">
        <v>895</v>
      </c>
      <c r="T120" s="1070"/>
      <c r="U120" s="1071"/>
      <c r="V120" s="1069" t="s">
        <v>895</v>
      </c>
      <c r="W120" s="1070"/>
      <c r="X120" s="1070"/>
      <c r="Y120" s="1071"/>
      <c r="Z120" s="1069" t="s">
        <v>895</v>
      </c>
      <c r="AA120" s="1070"/>
      <c r="AB120" s="1070"/>
      <c r="AC120" s="1071"/>
      <c r="AD120" s="1069" t="s">
        <v>2740</v>
      </c>
      <c r="AE120" s="1070"/>
      <c r="AF120" s="1070"/>
      <c r="AG120" s="1070"/>
      <c r="AH120" s="1071"/>
    </row>
    <row r="121" spans="1:34" ht="11.1" customHeight="1">
      <c r="A121" s="1081" t="s">
        <v>2741</v>
      </c>
      <c r="B121" s="1082"/>
      <c r="C121" s="1082"/>
      <c r="D121" s="1082"/>
      <c r="E121" s="1082"/>
      <c r="F121" s="1082"/>
      <c r="G121" s="1082"/>
      <c r="H121" s="1082"/>
      <c r="I121" s="1082"/>
      <c r="J121" s="1083"/>
      <c r="K121" s="1084" t="s">
        <v>2742</v>
      </c>
      <c r="L121" s="1086"/>
      <c r="M121" s="1086"/>
      <c r="N121" s="1086"/>
      <c r="O121" s="1086"/>
      <c r="P121" s="1086"/>
      <c r="Q121" s="1086"/>
      <c r="R121" s="1085"/>
      <c r="S121" s="1084" t="s">
        <v>895</v>
      </c>
      <c r="T121" s="1086"/>
      <c r="U121" s="1085"/>
      <c r="V121" s="1084" t="s">
        <v>895</v>
      </c>
      <c r="W121" s="1086"/>
      <c r="X121" s="1086"/>
      <c r="Y121" s="1085"/>
      <c r="Z121" s="1084" t="s">
        <v>895</v>
      </c>
      <c r="AA121" s="1086"/>
      <c r="AB121" s="1086"/>
      <c r="AC121" s="1085"/>
      <c r="AD121" s="1084" t="s">
        <v>2742</v>
      </c>
      <c r="AE121" s="1086"/>
      <c r="AF121" s="1086"/>
      <c r="AG121" s="1086"/>
      <c r="AH121" s="1085"/>
    </row>
    <row r="122" spans="1:34" ht="11.85" customHeight="1">
      <c r="A122" s="838"/>
      <c r="B122" s="838"/>
      <c r="C122" s="838"/>
      <c r="D122" s="838"/>
      <c r="E122" s="838"/>
      <c r="F122" s="838"/>
      <c r="G122" s="838"/>
      <c r="H122" s="838"/>
      <c r="I122" s="838"/>
      <c r="J122" s="838"/>
      <c r="K122" s="838"/>
      <c r="L122" s="838"/>
      <c r="M122" s="838"/>
      <c r="N122" s="838"/>
      <c r="O122" s="838"/>
      <c r="P122" s="838"/>
      <c r="Q122" s="838"/>
      <c r="R122" s="838"/>
      <c r="S122" s="838"/>
      <c r="T122" s="838"/>
      <c r="U122" s="838"/>
      <c r="V122" s="838"/>
      <c r="W122" s="838"/>
      <c r="X122" s="838"/>
      <c r="Y122" s="838"/>
      <c r="Z122" s="838"/>
      <c r="AA122" s="838"/>
      <c r="AB122" s="838"/>
      <c r="AC122" s="838"/>
      <c r="AD122" s="838"/>
      <c r="AE122" s="838"/>
      <c r="AF122" s="838"/>
      <c r="AG122" s="838"/>
      <c r="AH122" s="838"/>
    </row>
    <row r="123" spans="1:34" ht="11.85" customHeight="1">
      <c r="A123" s="1032" t="s">
        <v>2743</v>
      </c>
      <c r="B123" s="1033"/>
      <c r="C123" s="1033"/>
      <c r="D123" s="1033"/>
      <c r="E123" s="1033"/>
      <c r="F123" s="1033"/>
      <c r="G123" s="1033"/>
      <c r="H123" s="1033"/>
      <c r="I123" s="1034"/>
      <c r="J123" s="757" t="s">
        <v>2525</v>
      </c>
      <c r="K123" s="1038"/>
      <c r="L123" s="1038"/>
      <c r="M123" s="1038"/>
      <c r="N123" s="1038"/>
      <c r="O123" s="1038"/>
      <c r="P123" s="1039"/>
      <c r="Q123" s="757" t="s">
        <v>1950</v>
      </c>
      <c r="R123" s="1038"/>
      <c r="S123" s="1038"/>
      <c r="T123" s="1038"/>
      <c r="U123" s="1038"/>
      <c r="V123" s="1038"/>
      <c r="W123" s="1039"/>
      <c r="X123" s="751" t="s">
        <v>2480</v>
      </c>
      <c r="Y123" s="1043"/>
      <c r="Z123" s="1043"/>
      <c r="AA123" s="1043"/>
      <c r="AB123" s="1043"/>
      <c r="AC123" s="1043"/>
      <c r="AD123" s="1043"/>
      <c r="AE123" s="1043"/>
      <c r="AF123" s="1043"/>
      <c r="AG123" s="1043"/>
      <c r="AH123" s="1044"/>
    </row>
    <row r="124" spans="1:34" ht="17.850000000000001" customHeight="1">
      <c r="A124" s="1035"/>
      <c r="B124" s="1036"/>
      <c r="C124" s="1036"/>
      <c r="D124" s="1036"/>
      <c r="E124" s="1036"/>
      <c r="F124" s="1036"/>
      <c r="G124" s="1036"/>
      <c r="H124" s="1036"/>
      <c r="I124" s="1037"/>
      <c r="J124" s="1040"/>
      <c r="K124" s="1041"/>
      <c r="L124" s="1041"/>
      <c r="M124" s="1041"/>
      <c r="N124" s="1041"/>
      <c r="O124" s="1041"/>
      <c r="P124" s="1042"/>
      <c r="Q124" s="1040"/>
      <c r="R124" s="1041"/>
      <c r="S124" s="1041"/>
      <c r="T124" s="1041"/>
      <c r="U124" s="1041"/>
      <c r="V124" s="1041"/>
      <c r="W124" s="1042"/>
      <c r="X124" s="757" t="s">
        <v>2526</v>
      </c>
      <c r="Y124" s="758"/>
      <c r="Z124" s="758"/>
      <c r="AA124" s="758"/>
      <c r="AB124" s="758"/>
      <c r="AC124" s="758"/>
      <c r="AD124" s="759"/>
      <c r="AE124" s="757" t="s">
        <v>2527</v>
      </c>
      <c r="AF124" s="758"/>
      <c r="AG124" s="758"/>
      <c r="AH124" s="759"/>
    </row>
    <row r="125" spans="1:34" ht="11.1" customHeight="1">
      <c r="A125" s="1072" t="s">
        <v>2744</v>
      </c>
      <c r="B125" s="1073"/>
      <c r="C125" s="1073"/>
      <c r="D125" s="1073"/>
      <c r="E125" s="1073"/>
      <c r="F125" s="1073"/>
      <c r="G125" s="1073"/>
      <c r="H125" s="1073"/>
      <c r="I125" s="1074"/>
      <c r="J125" s="1048" t="s">
        <v>2745</v>
      </c>
      <c r="K125" s="1049"/>
      <c r="L125" s="1049"/>
      <c r="M125" s="1049"/>
      <c r="N125" s="1049"/>
      <c r="O125" s="1049"/>
      <c r="P125" s="1050"/>
      <c r="Q125" s="1048" t="s">
        <v>2746</v>
      </c>
      <c r="R125" s="1049"/>
      <c r="S125" s="1049"/>
      <c r="T125" s="1049"/>
      <c r="U125" s="1049"/>
      <c r="V125" s="1049"/>
      <c r="W125" s="1050"/>
      <c r="X125" s="1048" t="s">
        <v>2747</v>
      </c>
      <c r="Y125" s="1049"/>
      <c r="Z125" s="1049"/>
      <c r="AA125" s="1049"/>
      <c r="AB125" s="1049"/>
      <c r="AC125" s="1049"/>
      <c r="AD125" s="1050"/>
      <c r="AE125" s="1048" t="s">
        <v>2748</v>
      </c>
      <c r="AF125" s="1049"/>
      <c r="AG125" s="1049"/>
      <c r="AH125" s="1050"/>
    </row>
    <row r="126" spans="1:34" ht="11.85" customHeight="1">
      <c r="A126" s="1057" t="s">
        <v>2749</v>
      </c>
      <c r="B126" s="1058"/>
      <c r="C126" s="1058"/>
      <c r="D126" s="1058"/>
      <c r="E126" s="1058"/>
      <c r="F126" s="1058"/>
      <c r="G126" s="1058"/>
      <c r="H126" s="1058"/>
      <c r="I126" s="1059"/>
      <c r="J126" s="1054" t="s">
        <v>2750</v>
      </c>
      <c r="K126" s="1055"/>
      <c r="L126" s="1055"/>
      <c r="M126" s="1055"/>
      <c r="N126" s="1055"/>
      <c r="O126" s="1055"/>
      <c r="P126" s="1056"/>
      <c r="Q126" s="1054" t="s">
        <v>2751</v>
      </c>
      <c r="R126" s="1055"/>
      <c r="S126" s="1055"/>
      <c r="T126" s="1055"/>
      <c r="U126" s="1055"/>
      <c r="V126" s="1055"/>
      <c r="W126" s="1056"/>
      <c r="X126" s="1054" t="s">
        <v>2752</v>
      </c>
      <c r="Y126" s="1055"/>
      <c r="Z126" s="1055"/>
      <c r="AA126" s="1055"/>
      <c r="AB126" s="1055"/>
      <c r="AC126" s="1055"/>
      <c r="AD126" s="1056"/>
      <c r="AE126" s="1054" t="s">
        <v>2753</v>
      </c>
      <c r="AF126" s="1055"/>
      <c r="AG126" s="1055"/>
      <c r="AH126" s="1056"/>
    </row>
    <row r="127" spans="1:34" ht="11.85" customHeight="1">
      <c r="A127" s="1057" t="s">
        <v>2754</v>
      </c>
      <c r="B127" s="1058"/>
      <c r="C127" s="1058"/>
      <c r="D127" s="1058"/>
      <c r="E127" s="1058"/>
      <c r="F127" s="1058"/>
      <c r="G127" s="1058"/>
      <c r="H127" s="1058"/>
      <c r="I127" s="1059"/>
      <c r="J127" s="1054" t="s">
        <v>2755</v>
      </c>
      <c r="K127" s="1055"/>
      <c r="L127" s="1055"/>
      <c r="M127" s="1055"/>
      <c r="N127" s="1055"/>
      <c r="O127" s="1055"/>
      <c r="P127" s="1056"/>
      <c r="Q127" s="1054" t="s">
        <v>2756</v>
      </c>
      <c r="R127" s="1055"/>
      <c r="S127" s="1055"/>
      <c r="T127" s="1055"/>
      <c r="U127" s="1055"/>
      <c r="V127" s="1055"/>
      <c r="W127" s="1056"/>
      <c r="X127" s="1054" t="s">
        <v>2757</v>
      </c>
      <c r="Y127" s="1055"/>
      <c r="Z127" s="1055"/>
      <c r="AA127" s="1055"/>
      <c r="AB127" s="1055"/>
      <c r="AC127" s="1055"/>
      <c r="AD127" s="1056"/>
      <c r="AE127" s="1054" t="s">
        <v>2758</v>
      </c>
      <c r="AF127" s="1055"/>
      <c r="AG127" s="1055"/>
      <c r="AH127" s="1056"/>
    </row>
    <row r="128" spans="1:34" ht="11.85" customHeight="1">
      <c r="A128" s="1057" t="s">
        <v>2759</v>
      </c>
      <c r="B128" s="1058"/>
      <c r="C128" s="1058"/>
      <c r="D128" s="1058"/>
      <c r="E128" s="1058"/>
      <c r="F128" s="1058"/>
      <c r="G128" s="1058"/>
      <c r="H128" s="1058"/>
      <c r="I128" s="1059"/>
      <c r="J128" s="1054" t="s">
        <v>895</v>
      </c>
      <c r="K128" s="1055"/>
      <c r="L128" s="1055"/>
      <c r="M128" s="1055"/>
      <c r="N128" s="1055"/>
      <c r="O128" s="1055"/>
      <c r="P128" s="1056"/>
      <c r="Q128" s="1054" t="s">
        <v>895</v>
      </c>
      <c r="R128" s="1055"/>
      <c r="S128" s="1055"/>
      <c r="T128" s="1055"/>
      <c r="U128" s="1055"/>
      <c r="V128" s="1055"/>
      <c r="W128" s="1056"/>
      <c r="X128" s="1054" t="s">
        <v>895</v>
      </c>
      <c r="Y128" s="1055"/>
      <c r="Z128" s="1055"/>
      <c r="AA128" s="1055"/>
      <c r="AB128" s="1055"/>
      <c r="AC128" s="1055"/>
      <c r="AD128" s="1056"/>
      <c r="AE128" s="1054" t="s">
        <v>895</v>
      </c>
      <c r="AF128" s="1055"/>
      <c r="AG128" s="1055"/>
      <c r="AH128" s="1056"/>
    </row>
    <row r="129" spans="1:34" ht="11.1" customHeight="1">
      <c r="A129" s="1057" t="s">
        <v>2760</v>
      </c>
      <c r="B129" s="1058"/>
      <c r="C129" s="1058"/>
      <c r="D129" s="1058"/>
      <c r="E129" s="1058"/>
      <c r="F129" s="1058"/>
      <c r="G129" s="1058"/>
      <c r="H129" s="1058"/>
      <c r="I129" s="1059"/>
      <c r="J129" s="1054" t="s">
        <v>895</v>
      </c>
      <c r="K129" s="1055"/>
      <c r="L129" s="1055"/>
      <c r="M129" s="1055"/>
      <c r="N129" s="1055"/>
      <c r="O129" s="1055"/>
      <c r="P129" s="1056"/>
      <c r="Q129" s="1054" t="s">
        <v>895</v>
      </c>
      <c r="R129" s="1055"/>
      <c r="S129" s="1055"/>
      <c r="T129" s="1055"/>
      <c r="U129" s="1055"/>
      <c r="V129" s="1055"/>
      <c r="W129" s="1056"/>
      <c r="X129" s="1054" t="s">
        <v>895</v>
      </c>
      <c r="Y129" s="1055"/>
      <c r="Z129" s="1055"/>
      <c r="AA129" s="1055"/>
      <c r="AB129" s="1055"/>
      <c r="AC129" s="1055"/>
      <c r="AD129" s="1056"/>
      <c r="AE129" s="1054" t="s">
        <v>895</v>
      </c>
      <c r="AF129" s="1055"/>
      <c r="AG129" s="1055"/>
      <c r="AH129" s="1056"/>
    </row>
    <row r="130" spans="1:34" ht="11.85" customHeight="1">
      <c r="A130" s="1066" t="s">
        <v>2761</v>
      </c>
      <c r="B130" s="1067"/>
      <c r="C130" s="1067"/>
      <c r="D130" s="1067"/>
      <c r="E130" s="1067"/>
      <c r="F130" s="1067"/>
      <c r="G130" s="1067"/>
      <c r="H130" s="1067"/>
      <c r="I130" s="1068"/>
      <c r="J130" s="1069" t="s">
        <v>895</v>
      </c>
      <c r="K130" s="1070"/>
      <c r="L130" s="1070"/>
      <c r="M130" s="1070"/>
      <c r="N130" s="1070"/>
      <c r="O130" s="1070"/>
      <c r="P130" s="1071"/>
      <c r="Q130" s="1069" t="s">
        <v>895</v>
      </c>
      <c r="R130" s="1070"/>
      <c r="S130" s="1070"/>
      <c r="T130" s="1070"/>
      <c r="U130" s="1070"/>
      <c r="V130" s="1070"/>
      <c r="W130" s="1071"/>
      <c r="X130" s="1069" t="s">
        <v>895</v>
      </c>
      <c r="Y130" s="1070"/>
      <c r="Z130" s="1070"/>
      <c r="AA130" s="1070"/>
      <c r="AB130" s="1070"/>
      <c r="AC130" s="1070"/>
      <c r="AD130" s="1071"/>
      <c r="AE130" s="1069" t="s">
        <v>895</v>
      </c>
      <c r="AF130" s="1070"/>
      <c r="AG130" s="1070"/>
      <c r="AH130" s="1071"/>
    </row>
    <row r="131" spans="1:34" ht="11.85" customHeight="1">
      <c r="A131" s="1081" t="s">
        <v>2762</v>
      </c>
      <c r="B131" s="1082"/>
      <c r="C131" s="1082"/>
      <c r="D131" s="1082"/>
      <c r="E131" s="1082"/>
      <c r="F131" s="1082"/>
      <c r="G131" s="1082"/>
      <c r="H131" s="1082"/>
      <c r="I131" s="1083"/>
      <c r="J131" s="1084" t="s">
        <v>2745</v>
      </c>
      <c r="K131" s="1086"/>
      <c r="L131" s="1086"/>
      <c r="M131" s="1086"/>
      <c r="N131" s="1086"/>
      <c r="O131" s="1086"/>
      <c r="P131" s="1085"/>
      <c r="Q131" s="1084" t="s">
        <v>2746</v>
      </c>
      <c r="R131" s="1086"/>
      <c r="S131" s="1086"/>
      <c r="T131" s="1086"/>
      <c r="U131" s="1086"/>
      <c r="V131" s="1086"/>
      <c r="W131" s="1085"/>
      <c r="X131" s="1084" t="s">
        <v>2747</v>
      </c>
      <c r="Y131" s="1086"/>
      <c r="Z131" s="1086"/>
      <c r="AA131" s="1086"/>
      <c r="AB131" s="1086"/>
      <c r="AC131" s="1086"/>
      <c r="AD131" s="1085"/>
      <c r="AE131" s="1084" t="s">
        <v>2748</v>
      </c>
      <c r="AF131" s="1086"/>
      <c r="AG131" s="1086"/>
      <c r="AH131" s="1085"/>
    </row>
    <row r="132" spans="1:34" ht="11.85" customHeight="1">
      <c r="A132" s="778"/>
      <c r="B132" s="778"/>
      <c r="C132" s="778"/>
      <c r="D132" s="778"/>
      <c r="E132" s="778"/>
      <c r="F132" s="778"/>
      <c r="G132" s="778"/>
      <c r="H132" s="778"/>
      <c r="I132" s="778"/>
      <c r="J132" s="778"/>
      <c r="K132" s="778"/>
      <c r="L132" s="778"/>
      <c r="M132" s="778"/>
      <c r="N132" s="778"/>
      <c r="O132" s="778"/>
      <c r="P132" s="778"/>
      <c r="Q132" s="778"/>
      <c r="R132" s="778"/>
      <c r="S132" s="778"/>
      <c r="T132" s="778"/>
      <c r="U132" s="778"/>
      <c r="V132" s="778"/>
      <c r="W132" s="778"/>
      <c r="X132" s="778"/>
      <c r="Y132" s="778"/>
      <c r="Z132" s="778"/>
      <c r="AA132" s="778"/>
      <c r="AB132" s="778"/>
      <c r="AC132" s="778"/>
      <c r="AD132" s="778"/>
      <c r="AE132" s="778"/>
      <c r="AF132" s="778"/>
      <c r="AG132" s="778"/>
      <c r="AH132" s="778"/>
    </row>
    <row r="133" spans="1:34" ht="5.0999999999999996" customHeight="1"/>
    <row r="134" spans="1:34" ht="11.85" customHeight="1">
      <c r="A134" s="779" t="s">
        <v>2640</v>
      </c>
      <c r="B134" s="779"/>
      <c r="C134" s="779"/>
      <c r="D134" s="779"/>
      <c r="E134" s="779"/>
      <c r="F134" s="779"/>
      <c r="G134" s="779"/>
      <c r="H134" s="779"/>
      <c r="I134" s="779"/>
      <c r="J134" s="779"/>
      <c r="K134" s="779"/>
      <c r="L134" s="779"/>
      <c r="M134" s="779"/>
      <c r="N134" s="779"/>
      <c r="O134" s="779"/>
      <c r="P134" s="779"/>
      <c r="Q134" s="779"/>
      <c r="R134" s="779"/>
      <c r="S134" s="779"/>
      <c r="T134" s="779"/>
      <c r="U134" s="779"/>
      <c r="V134" s="779"/>
      <c r="W134" s="779"/>
      <c r="X134" s="779"/>
      <c r="Y134" s="779"/>
      <c r="Z134" s="779"/>
      <c r="AA134" s="779"/>
      <c r="AB134" s="779"/>
      <c r="AC134" s="779"/>
      <c r="AD134" s="779"/>
      <c r="AE134" s="779"/>
      <c r="AF134" s="779"/>
      <c r="AG134" s="779"/>
    </row>
    <row r="135" spans="1:34" ht="5.85" customHeight="1"/>
    <row r="136" spans="1:34" ht="11.85" customHeight="1">
      <c r="A136" s="740" t="s">
        <v>1405</v>
      </c>
      <c r="B136" s="740"/>
      <c r="C136" s="740"/>
      <c r="D136" s="740"/>
      <c r="E136" s="740"/>
      <c r="F136" s="740"/>
      <c r="G136" s="740"/>
      <c r="AG136" s="512" t="s">
        <v>1944</v>
      </c>
    </row>
    <row r="137" spans="1:34" ht="11.1" customHeight="1">
      <c r="A137" s="740" t="s">
        <v>882</v>
      </c>
      <c r="B137" s="740"/>
      <c r="C137" s="740"/>
      <c r="D137" s="740"/>
      <c r="E137" s="740"/>
      <c r="F137" s="740"/>
      <c r="G137" s="740"/>
    </row>
    <row r="138" spans="1:34" ht="11.85" customHeight="1">
      <c r="A138" s="742" t="s">
        <v>2522</v>
      </c>
      <c r="B138" s="742"/>
      <c r="C138" s="742"/>
      <c r="D138" s="742"/>
      <c r="E138" s="742"/>
      <c r="F138" s="742"/>
      <c r="G138" s="742"/>
    </row>
    <row r="139" spans="1:34" ht="11.85" customHeight="1">
      <c r="A139" s="740" t="s">
        <v>1310</v>
      </c>
      <c r="B139" s="740"/>
      <c r="C139" s="740"/>
      <c r="D139" s="740"/>
      <c r="E139" s="740"/>
      <c r="F139" s="740"/>
      <c r="G139" s="740"/>
    </row>
    <row r="140" spans="1:34" ht="11.85" customHeight="1">
      <c r="A140" s="740" t="s">
        <v>885</v>
      </c>
      <c r="B140" s="740"/>
      <c r="C140" s="740"/>
      <c r="D140" s="740"/>
      <c r="E140" s="740"/>
      <c r="F140" s="740"/>
      <c r="G140" s="740"/>
    </row>
    <row r="141" spans="1:34" ht="5.85" customHeight="1"/>
    <row r="142" spans="1:34" ht="11.1" customHeight="1">
      <c r="A142" s="810" t="s">
        <v>2523</v>
      </c>
      <c r="B142" s="810"/>
      <c r="C142" s="810"/>
      <c r="D142" s="810"/>
      <c r="E142" s="810"/>
      <c r="F142" s="810"/>
      <c r="G142" s="810"/>
      <c r="H142" s="502"/>
      <c r="I142" s="502"/>
      <c r="J142" s="502"/>
      <c r="K142" s="502"/>
      <c r="L142" s="502"/>
      <c r="M142" s="502"/>
      <c r="N142" s="502"/>
      <c r="O142" s="502"/>
      <c r="P142" s="502"/>
      <c r="Q142" s="502"/>
      <c r="R142" s="502"/>
      <c r="S142" s="502"/>
      <c r="T142" s="502"/>
      <c r="U142" s="502"/>
      <c r="V142" s="502"/>
      <c r="W142" s="502"/>
      <c r="X142" s="502"/>
      <c r="Y142" s="502"/>
      <c r="Z142" s="502"/>
      <c r="AA142" s="502"/>
      <c r="AB142" s="502"/>
      <c r="AC142" s="502"/>
      <c r="AD142" s="502"/>
      <c r="AE142" s="502"/>
      <c r="AF142" s="502"/>
      <c r="AG142" s="502"/>
      <c r="AH142" s="502"/>
    </row>
    <row r="143" spans="1:34" ht="17.850000000000001" customHeight="1">
      <c r="A143" s="751" t="s">
        <v>2763</v>
      </c>
      <c r="B143" s="1043"/>
      <c r="C143" s="1043"/>
      <c r="D143" s="1043"/>
      <c r="E143" s="1043"/>
      <c r="F143" s="1043"/>
      <c r="G143" s="1043"/>
      <c r="H143" s="1043"/>
      <c r="I143" s="1043"/>
      <c r="J143" s="1043"/>
      <c r="K143" s="1043"/>
      <c r="L143" s="1043"/>
      <c r="M143" s="1043"/>
      <c r="N143" s="1043"/>
      <c r="O143" s="1043"/>
      <c r="P143" s="1043"/>
      <c r="Q143" s="1043"/>
      <c r="R143" s="1043"/>
      <c r="S143" s="1043"/>
      <c r="T143" s="1043"/>
      <c r="U143" s="1043"/>
      <c r="V143" s="1043"/>
      <c r="W143" s="1043"/>
      <c r="X143" s="1043"/>
      <c r="Y143" s="1043"/>
      <c r="Z143" s="1043"/>
      <c r="AA143" s="1043"/>
      <c r="AB143" s="1043"/>
      <c r="AC143" s="1043"/>
      <c r="AD143" s="1043"/>
      <c r="AE143" s="1043"/>
      <c r="AF143" s="1043"/>
      <c r="AG143" s="1043"/>
      <c r="AH143" s="1044"/>
    </row>
    <row r="144" spans="1:34" ht="11.85" customHeight="1">
      <c r="A144" s="1075" t="s">
        <v>2764</v>
      </c>
      <c r="B144" s="1076"/>
      <c r="C144" s="1076"/>
      <c r="D144" s="1076"/>
      <c r="E144" s="1077"/>
      <c r="F144" s="757" t="s">
        <v>2578</v>
      </c>
      <c r="G144" s="1039"/>
      <c r="H144" s="757" t="s">
        <v>1889</v>
      </c>
      <c r="I144" s="1038"/>
      <c r="J144" s="1038"/>
      <c r="K144" s="1038"/>
      <c r="L144" s="1039"/>
      <c r="M144" s="751" t="s">
        <v>2579</v>
      </c>
      <c r="N144" s="1043"/>
      <c r="O144" s="1043"/>
      <c r="P144" s="1043"/>
      <c r="Q144" s="1043"/>
      <c r="R144" s="1043"/>
      <c r="S144" s="1044"/>
      <c r="T144" s="751" t="s">
        <v>2580</v>
      </c>
      <c r="U144" s="1043"/>
      <c r="V144" s="1043"/>
      <c r="W144" s="1043"/>
      <c r="X144" s="1043"/>
      <c r="Y144" s="1043"/>
      <c r="Z144" s="1043"/>
      <c r="AA144" s="1043"/>
      <c r="AB144" s="1044"/>
      <c r="AC144" s="751" t="s">
        <v>2581</v>
      </c>
      <c r="AD144" s="1043"/>
      <c r="AE144" s="1043"/>
      <c r="AF144" s="1043"/>
      <c r="AG144" s="1043"/>
      <c r="AH144" s="1044"/>
    </row>
    <row r="145" spans="1:34" ht="17.100000000000001" customHeight="1">
      <c r="A145" s="1078"/>
      <c r="B145" s="1079"/>
      <c r="C145" s="1079"/>
      <c r="D145" s="1079"/>
      <c r="E145" s="1080"/>
      <c r="F145" s="1040"/>
      <c r="G145" s="1042"/>
      <c r="H145" s="1040"/>
      <c r="I145" s="1041"/>
      <c r="J145" s="1041"/>
      <c r="K145" s="1041"/>
      <c r="L145" s="1042"/>
      <c r="M145" s="757" t="s">
        <v>2582</v>
      </c>
      <c r="N145" s="758"/>
      <c r="O145" s="759"/>
      <c r="P145" s="757" t="s">
        <v>2583</v>
      </c>
      <c r="Q145" s="758"/>
      <c r="R145" s="758"/>
      <c r="S145" s="759"/>
      <c r="T145" s="757" t="s">
        <v>2584</v>
      </c>
      <c r="U145" s="758"/>
      <c r="V145" s="758"/>
      <c r="W145" s="758"/>
      <c r="X145" s="759"/>
      <c r="Y145" s="757" t="s">
        <v>2585</v>
      </c>
      <c r="Z145" s="758"/>
      <c r="AA145" s="758"/>
      <c r="AB145" s="759"/>
      <c r="AC145" s="757" t="s">
        <v>2586</v>
      </c>
      <c r="AD145" s="758"/>
      <c r="AE145" s="758"/>
      <c r="AF145" s="759"/>
      <c r="AG145" s="757" t="s">
        <v>2587</v>
      </c>
      <c r="AH145" s="759"/>
    </row>
    <row r="146" spans="1:34" ht="17.850000000000001" customHeight="1">
      <c r="A146" s="1122" t="s">
        <v>2765</v>
      </c>
      <c r="B146" s="1123"/>
      <c r="C146" s="1123"/>
      <c r="D146" s="1123"/>
      <c r="E146" s="1124"/>
      <c r="F146" s="1125" t="s">
        <v>2766</v>
      </c>
      <c r="G146" s="1126"/>
      <c r="H146" s="1125" t="s">
        <v>2767</v>
      </c>
      <c r="I146" s="1127"/>
      <c r="J146" s="1127"/>
      <c r="K146" s="1127"/>
      <c r="L146" s="1126"/>
      <c r="M146" s="1125" t="s">
        <v>2768</v>
      </c>
      <c r="N146" s="1127"/>
      <c r="O146" s="1126"/>
      <c r="P146" s="1125" t="s">
        <v>2769</v>
      </c>
      <c r="Q146" s="1127"/>
      <c r="R146" s="1127"/>
      <c r="S146" s="1126"/>
      <c r="T146" s="1125" t="s">
        <v>2770</v>
      </c>
      <c r="U146" s="1127"/>
      <c r="V146" s="1127"/>
      <c r="W146" s="1127"/>
      <c r="X146" s="1126"/>
      <c r="Y146" s="1125" t="s">
        <v>2771</v>
      </c>
      <c r="Z146" s="1127"/>
      <c r="AA146" s="1127"/>
      <c r="AB146" s="1126"/>
      <c r="AC146" s="1125" t="s">
        <v>2772</v>
      </c>
      <c r="AD146" s="1127"/>
      <c r="AE146" s="1127"/>
      <c r="AF146" s="1126"/>
      <c r="AG146" s="1125" t="s">
        <v>2773</v>
      </c>
      <c r="AH146" s="1126"/>
    </row>
    <row r="147" spans="1:34" ht="17.850000000000001" customHeight="1">
      <c r="A147" s="1107" t="s">
        <v>2597</v>
      </c>
      <c r="B147" s="1108"/>
      <c r="C147" s="1108"/>
      <c r="D147" s="1108"/>
      <c r="E147" s="1109"/>
      <c r="F147" s="1128" t="s">
        <v>2774</v>
      </c>
      <c r="G147" s="1129"/>
      <c r="H147" s="1128" t="s">
        <v>2775</v>
      </c>
      <c r="I147" s="1130"/>
      <c r="J147" s="1130"/>
      <c r="K147" s="1130"/>
      <c r="L147" s="1129"/>
      <c r="M147" s="1128" t="s">
        <v>2776</v>
      </c>
      <c r="N147" s="1130"/>
      <c r="O147" s="1129"/>
      <c r="P147" s="1128" t="s">
        <v>2777</v>
      </c>
      <c r="Q147" s="1130"/>
      <c r="R147" s="1130"/>
      <c r="S147" s="1129"/>
      <c r="T147" s="1128" t="s">
        <v>2778</v>
      </c>
      <c r="U147" s="1130"/>
      <c r="V147" s="1130"/>
      <c r="W147" s="1130"/>
      <c r="X147" s="1129"/>
      <c r="Y147" s="1128" t="s">
        <v>2779</v>
      </c>
      <c r="Z147" s="1130"/>
      <c r="AA147" s="1130"/>
      <c r="AB147" s="1129"/>
      <c r="AC147" s="1128" t="s">
        <v>2780</v>
      </c>
      <c r="AD147" s="1130"/>
      <c r="AE147" s="1130"/>
      <c r="AF147" s="1129"/>
      <c r="AG147" s="1128" t="s">
        <v>2781</v>
      </c>
      <c r="AH147" s="1129"/>
    </row>
    <row r="148" spans="1:34" ht="17.100000000000001" customHeight="1">
      <c r="A148" s="1107" t="s">
        <v>2515</v>
      </c>
      <c r="B148" s="1108"/>
      <c r="C148" s="1108"/>
      <c r="D148" s="1108"/>
      <c r="E148" s="1109"/>
      <c r="F148" s="1128" t="s">
        <v>2782</v>
      </c>
      <c r="G148" s="1129"/>
      <c r="H148" s="1128" t="s">
        <v>2783</v>
      </c>
      <c r="I148" s="1130"/>
      <c r="J148" s="1130"/>
      <c r="K148" s="1130"/>
      <c r="L148" s="1129"/>
      <c r="M148" s="1128" t="s">
        <v>2784</v>
      </c>
      <c r="N148" s="1130"/>
      <c r="O148" s="1129"/>
      <c r="P148" s="1128" t="s">
        <v>2785</v>
      </c>
      <c r="Q148" s="1130"/>
      <c r="R148" s="1130"/>
      <c r="S148" s="1129"/>
      <c r="T148" s="1128" t="s">
        <v>2786</v>
      </c>
      <c r="U148" s="1130"/>
      <c r="V148" s="1130"/>
      <c r="W148" s="1130"/>
      <c r="X148" s="1129"/>
      <c r="Y148" s="1128" t="s">
        <v>2787</v>
      </c>
      <c r="Z148" s="1130"/>
      <c r="AA148" s="1130"/>
      <c r="AB148" s="1129"/>
      <c r="AC148" s="1128" t="s">
        <v>2786</v>
      </c>
      <c r="AD148" s="1130"/>
      <c r="AE148" s="1130"/>
      <c r="AF148" s="1129"/>
      <c r="AG148" s="1128" t="s">
        <v>2787</v>
      </c>
      <c r="AH148" s="1129"/>
    </row>
    <row r="149" spans="1:34" ht="17.850000000000001" customHeight="1">
      <c r="A149" s="1107" t="s">
        <v>2788</v>
      </c>
      <c r="B149" s="1108"/>
      <c r="C149" s="1108"/>
      <c r="D149" s="1108"/>
      <c r="E149" s="1109"/>
      <c r="F149" s="1128" t="s">
        <v>2789</v>
      </c>
      <c r="G149" s="1129"/>
      <c r="H149" s="1128" t="s">
        <v>2790</v>
      </c>
      <c r="I149" s="1130"/>
      <c r="J149" s="1130"/>
      <c r="K149" s="1130"/>
      <c r="L149" s="1129"/>
      <c r="M149" s="1128" t="s">
        <v>2791</v>
      </c>
      <c r="N149" s="1130"/>
      <c r="O149" s="1129"/>
      <c r="P149" s="1128" t="s">
        <v>2792</v>
      </c>
      <c r="Q149" s="1130"/>
      <c r="R149" s="1130"/>
      <c r="S149" s="1129"/>
      <c r="T149" s="1128" t="s">
        <v>2793</v>
      </c>
      <c r="U149" s="1130"/>
      <c r="V149" s="1130"/>
      <c r="W149" s="1130"/>
      <c r="X149" s="1129"/>
      <c r="Y149" s="1128" t="s">
        <v>2794</v>
      </c>
      <c r="Z149" s="1130"/>
      <c r="AA149" s="1130"/>
      <c r="AB149" s="1129"/>
      <c r="AC149" s="1128" t="s">
        <v>2795</v>
      </c>
      <c r="AD149" s="1130"/>
      <c r="AE149" s="1130"/>
      <c r="AF149" s="1129"/>
      <c r="AG149" s="1128" t="s">
        <v>2796</v>
      </c>
      <c r="AH149" s="1129"/>
    </row>
    <row r="150" spans="1:34" ht="17.100000000000001" customHeight="1">
      <c r="A150" s="1107" t="s">
        <v>2597</v>
      </c>
      <c r="B150" s="1108"/>
      <c r="C150" s="1108"/>
      <c r="D150" s="1108"/>
      <c r="E150" s="1109"/>
      <c r="F150" s="1128" t="s">
        <v>2797</v>
      </c>
      <c r="G150" s="1129"/>
      <c r="H150" s="1128" t="s">
        <v>2798</v>
      </c>
      <c r="I150" s="1130"/>
      <c r="J150" s="1130"/>
      <c r="K150" s="1130"/>
      <c r="L150" s="1129"/>
      <c r="M150" s="1128" t="s">
        <v>2799</v>
      </c>
      <c r="N150" s="1130"/>
      <c r="O150" s="1129"/>
      <c r="P150" s="1128" t="s">
        <v>2800</v>
      </c>
      <c r="Q150" s="1130"/>
      <c r="R150" s="1130"/>
      <c r="S150" s="1129"/>
      <c r="T150" s="1128" t="s">
        <v>2801</v>
      </c>
      <c r="U150" s="1130"/>
      <c r="V150" s="1130"/>
      <c r="W150" s="1130"/>
      <c r="X150" s="1129"/>
      <c r="Y150" s="1128" t="s">
        <v>2802</v>
      </c>
      <c r="Z150" s="1130"/>
      <c r="AA150" s="1130"/>
      <c r="AB150" s="1129"/>
      <c r="AC150" s="1128" t="s">
        <v>2803</v>
      </c>
      <c r="AD150" s="1130"/>
      <c r="AE150" s="1130"/>
      <c r="AF150" s="1129"/>
      <c r="AG150" s="1128" t="s">
        <v>2804</v>
      </c>
      <c r="AH150" s="1129"/>
    </row>
    <row r="151" spans="1:34" ht="17.850000000000001" customHeight="1">
      <c r="A151" s="1107" t="s">
        <v>2515</v>
      </c>
      <c r="B151" s="1108"/>
      <c r="C151" s="1108"/>
      <c r="D151" s="1108"/>
      <c r="E151" s="1109"/>
      <c r="F151" s="1128" t="s">
        <v>2805</v>
      </c>
      <c r="G151" s="1129"/>
      <c r="H151" s="1128" t="s">
        <v>2806</v>
      </c>
      <c r="I151" s="1130"/>
      <c r="J151" s="1130"/>
      <c r="K151" s="1130"/>
      <c r="L151" s="1129"/>
      <c r="M151" s="1128" t="s">
        <v>825</v>
      </c>
      <c r="N151" s="1130"/>
      <c r="O151" s="1129"/>
      <c r="P151" s="1128" t="s">
        <v>2807</v>
      </c>
      <c r="Q151" s="1130"/>
      <c r="R151" s="1130"/>
      <c r="S151" s="1129"/>
      <c r="T151" s="1128" t="s">
        <v>842</v>
      </c>
      <c r="U151" s="1130"/>
      <c r="V151" s="1130"/>
      <c r="W151" s="1130"/>
      <c r="X151" s="1129"/>
      <c r="Y151" s="1128" t="s">
        <v>2808</v>
      </c>
      <c r="Z151" s="1130"/>
      <c r="AA151" s="1130"/>
      <c r="AB151" s="1129"/>
      <c r="AC151" s="1128" t="s">
        <v>842</v>
      </c>
      <c r="AD151" s="1130"/>
      <c r="AE151" s="1130"/>
      <c r="AF151" s="1129"/>
      <c r="AG151" s="1128" t="s">
        <v>2808</v>
      </c>
      <c r="AH151" s="1129"/>
    </row>
    <row r="152" spans="1:34" ht="17.850000000000001" customHeight="1">
      <c r="A152" s="1107" t="s">
        <v>2809</v>
      </c>
      <c r="B152" s="1108"/>
      <c r="C152" s="1108"/>
      <c r="D152" s="1108"/>
      <c r="E152" s="1109"/>
      <c r="F152" s="1128" t="s">
        <v>2810</v>
      </c>
      <c r="G152" s="1129"/>
      <c r="H152" s="1128" t="s">
        <v>2811</v>
      </c>
      <c r="I152" s="1130"/>
      <c r="J152" s="1130"/>
      <c r="K152" s="1130"/>
      <c r="L152" s="1129"/>
      <c r="M152" s="1128" t="s">
        <v>2812</v>
      </c>
      <c r="N152" s="1130"/>
      <c r="O152" s="1129"/>
      <c r="P152" s="1128" t="s">
        <v>2813</v>
      </c>
      <c r="Q152" s="1130"/>
      <c r="R152" s="1130"/>
      <c r="S152" s="1129"/>
      <c r="T152" s="1128" t="s">
        <v>2814</v>
      </c>
      <c r="U152" s="1130"/>
      <c r="V152" s="1130"/>
      <c r="W152" s="1130"/>
      <c r="X152" s="1129"/>
      <c r="Y152" s="1128" t="s">
        <v>2815</v>
      </c>
      <c r="Z152" s="1130"/>
      <c r="AA152" s="1130"/>
      <c r="AB152" s="1129"/>
      <c r="AC152" s="1128" t="s">
        <v>2816</v>
      </c>
      <c r="AD152" s="1130"/>
      <c r="AE152" s="1130"/>
      <c r="AF152" s="1129"/>
      <c r="AG152" s="1128" t="s">
        <v>2817</v>
      </c>
      <c r="AH152" s="1129"/>
    </row>
    <row r="153" spans="1:34" ht="17.100000000000001" customHeight="1">
      <c r="A153" s="1107" t="s">
        <v>2597</v>
      </c>
      <c r="B153" s="1108"/>
      <c r="C153" s="1108"/>
      <c r="D153" s="1108"/>
      <c r="E153" s="1109"/>
      <c r="F153" s="1128" t="s">
        <v>2810</v>
      </c>
      <c r="G153" s="1129"/>
      <c r="H153" s="1128" t="s">
        <v>2811</v>
      </c>
      <c r="I153" s="1130"/>
      <c r="J153" s="1130"/>
      <c r="K153" s="1130"/>
      <c r="L153" s="1129"/>
      <c r="M153" s="1128" t="s">
        <v>2812</v>
      </c>
      <c r="N153" s="1130"/>
      <c r="O153" s="1129"/>
      <c r="P153" s="1128" t="s">
        <v>2813</v>
      </c>
      <c r="Q153" s="1130"/>
      <c r="R153" s="1130"/>
      <c r="S153" s="1129"/>
      <c r="T153" s="1128" t="s">
        <v>2814</v>
      </c>
      <c r="U153" s="1130"/>
      <c r="V153" s="1130"/>
      <c r="W153" s="1130"/>
      <c r="X153" s="1129"/>
      <c r="Y153" s="1128" t="s">
        <v>2815</v>
      </c>
      <c r="Z153" s="1130"/>
      <c r="AA153" s="1130"/>
      <c r="AB153" s="1129"/>
      <c r="AC153" s="1128" t="s">
        <v>2816</v>
      </c>
      <c r="AD153" s="1130"/>
      <c r="AE153" s="1130"/>
      <c r="AF153" s="1129"/>
      <c r="AG153" s="1128" t="s">
        <v>2817</v>
      </c>
      <c r="AH153" s="1129"/>
    </row>
    <row r="154" spans="1:34" ht="17.850000000000001" customHeight="1">
      <c r="A154" s="1107" t="s">
        <v>2515</v>
      </c>
      <c r="B154" s="1108"/>
      <c r="C154" s="1108"/>
      <c r="D154" s="1108"/>
      <c r="E154" s="1109"/>
      <c r="F154" s="1128" t="s">
        <v>895</v>
      </c>
      <c r="G154" s="1129"/>
      <c r="H154" s="1128" t="s">
        <v>895</v>
      </c>
      <c r="I154" s="1130"/>
      <c r="J154" s="1130"/>
      <c r="K154" s="1130"/>
      <c r="L154" s="1129"/>
      <c r="M154" s="1128" t="s">
        <v>895</v>
      </c>
      <c r="N154" s="1130"/>
      <c r="O154" s="1129"/>
      <c r="P154" s="1128" t="s">
        <v>895</v>
      </c>
      <c r="Q154" s="1130"/>
      <c r="R154" s="1130"/>
      <c r="S154" s="1129"/>
      <c r="T154" s="1128" t="s">
        <v>895</v>
      </c>
      <c r="U154" s="1130"/>
      <c r="V154" s="1130"/>
      <c r="W154" s="1130"/>
      <c r="X154" s="1129"/>
      <c r="Y154" s="1128" t="s">
        <v>895</v>
      </c>
      <c r="Z154" s="1130"/>
      <c r="AA154" s="1130"/>
      <c r="AB154" s="1129"/>
      <c r="AC154" s="1128" t="s">
        <v>895</v>
      </c>
      <c r="AD154" s="1130"/>
      <c r="AE154" s="1130"/>
      <c r="AF154" s="1129"/>
      <c r="AG154" s="1128" t="s">
        <v>895</v>
      </c>
      <c r="AH154" s="1129"/>
    </row>
    <row r="155" spans="1:34" ht="17.850000000000001" customHeight="1">
      <c r="A155" s="1107" t="s">
        <v>2818</v>
      </c>
      <c r="B155" s="1108"/>
      <c r="C155" s="1108"/>
      <c r="D155" s="1108"/>
      <c r="E155" s="1109"/>
      <c r="F155" s="1128" t="s">
        <v>2819</v>
      </c>
      <c r="G155" s="1129"/>
      <c r="H155" s="1128" t="s">
        <v>2820</v>
      </c>
      <c r="I155" s="1130"/>
      <c r="J155" s="1130"/>
      <c r="K155" s="1130"/>
      <c r="L155" s="1129"/>
      <c r="M155" s="1128" t="s">
        <v>2821</v>
      </c>
      <c r="N155" s="1130"/>
      <c r="O155" s="1129"/>
      <c r="P155" s="1128" t="s">
        <v>2822</v>
      </c>
      <c r="Q155" s="1130"/>
      <c r="R155" s="1130"/>
      <c r="S155" s="1129"/>
      <c r="T155" s="1128" t="s">
        <v>2823</v>
      </c>
      <c r="U155" s="1130"/>
      <c r="V155" s="1130"/>
      <c r="W155" s="1130"/>
      <c r="X155" s="1129"/>
      <c r="Y155" s="1128" t="s">
        <v>2824</v>
      </c>
      <c r="Z155" s="1130"/>
      <c r="AA155" s="1130"/>
      <c r="AB155" s="1129"/>
      <c r="AC155" s="1128" t="s">
        <v>2823</v>
      </c>
      <c r="AD155" s="1130"/>
      <c r="AE155" s="1130"/>
      <c r="AF155" s="1129"/>
      <c r="AG155" s="1128" t="s">
        <v>2824</v>
      </c>
      <c r="AH155" s="1129"/>
    </row>
    <row r="156" spans="1:34" ht="17.100000000000001" customHeight="1">
      <c r="A156" s="1107" t="s">
        <v>2597</v>
      </c>
      <c r="B156" s="1108"/>
      <c r="C156" s="1108"/>
      <c r="D156" s="1108"/>
      <c r="E156" s="1109"/>
      <c r="F156" s="1128" t="s">
        <v>2819</v>
      </c>
      <c r="G156" s="1129"/>
      <c r="H156" s="1128" t="s">
        <v>2820</v>
      </c>
      <c r="I156" s="1130"/>
      <c r="J156" s="1130"/>
      <c r="K156" s="1130"/>
      <c r="L156" s="1129"/>
      <c r="M156" s="1128" t="s">
        <v>2821</v>
      </c>
      <c r="N156" s="1130"/>
      <c r="O156" s="1129"/>
      <c r="P156" s="1128" t="s">
        <v>2822</v>
      </c>
      <c r="Q156" s="1130"/>
      <c r="R156" s="1130"/>
      <c r="S156" s="1129"/>
      <c r="T156" s="1128" t="s">
        <v>2823</v>
      </c>
      <c r="U156" s="1130"/>
      <c r="V156" s="1130"/>
      <c r="W156" s="1130"/>
      <c r="X156" s="1129"/>
      <c r="Y156" s="1128" t="s">
        <v>2824</v>
      </c>
      <c r="Z156" s="1130"/>
      <c r="AA156" s="1130"/>
      <c r="AB156" s="1129"/>
      <c r="AC156" s="1128" t="s">
        <v>2823</v>
      </c>
      <c r="AD156" s="1130"/>
      <c r="AE156" s="1130"/>
      <c r="AF156" s="1129"/>
      <c r="AG156" s="1128" t="s">
        <v>2824</v>
      </c>
      <c r="AH156" s="1129"/>
    </row>
    <row r="157" spans="1:34" ht="17.850000000000001" customHeight="1">
      <c r="A157" s="1107" t="s">
        <v>2515</v>
      </c>
      <c r="B157" s="1108"/>
      <c r="C157" s="1108"/>
      <c r="D157" s="1108"/>
      <c r="E157" s="1109"/>
      <c r="F157" s="1128" t="s">
        <v>895</v>
      </c>
      <c r="G157" s="1129"/>
      <c r="H157" s="1128" t="s">
        <v>895</v>
      </c>
      <c r="I157" s="1130"/>
      <c r="J157" s="1130"/>
      <c r="K157" s="1130"/>
      <c r="L157" s="1129"/>
      <c r="M157" s="1128" t="s">
        <v>895</v>
      </c>
      <c r="N157" s="1130"/>
      <c r="O157" s="1129"/>
      <c r="P157" s="1128" t="s">
        <v>895</v>
      </c>
      <c r="Q157" s="1130"/>
      <c r="R157" s="1130"/>
      <c r="S157" s="1129"/>
      <c r="T157" s="1128" t="s">
        <v>895</v>
      </c>
      <c r="U157" s="1130"/>
      <c r="V157" s="1130"/>
      <c r="W157" s="1130"/>
      <c r="X157" s="1129"/>
      <c r="Y157" s="1128" t="s">
        <v>895</v>
      </c>
      <c r="Z157" s="1130"/>
      <c r="AA157" s="1130"/>
      <c r="AB157" s="1129"/>
      <c r="AC157" s="1128" t="s">
        <v>895</v>
      </c>
      <c r="AD157" s="1130"/>
      <c r="AE157" s="1130"/>
      <c r="AF157" s="1129"/>
      <c r="AG157" s="1128" t="s">
        <v>895</v>
      </c>
      <c r="AH157" s="1129"/>
    </row>
    <row r="158" spans="1:34" ht="17.100000000000001" customHeight="1">
      <c r="A158" s="1107" t="s">
        <v>2825</v>
      </c>
      <c r="B158" s="1108"/>
      <c r="C158" s="1108"/>
      <c r="D158" s="1108"/>
      <c r="E158" s="1109"/>
      <c r="F158" s="1128" t="s">
        <v>2826</v>
      </c>
      <c r="G158" s="1129"/>
      <c r="H158" s="1128" t="s">
        <v>2827</v>
      </c>
      <c r="I158" s="1130"/>
      <c r="J158" s="1130"/>
      <c r="K158" s="1130"/>
      <c r="L158" s="1129"/>
      <c r="M158" s="1128" t="s">
        <v>2828</v>
      </c>
      <c r="N158" s="1130"/>
      <c r="O158" s="1129"/>
      <c r="P158" s="1128" t="s">
        <v>2829</v>
      </c>
      <c r="Q158" s="1130"/>
      <c r="R158" s="1130"/>
      <c r="S158" s="1129"/>
      <c r="T158" s="1128" t="s">
        <v>2830</v>
      </c>
      <c r="U158" s="1130"/>
      <c r="V158" s="1130"/>
      <c r="W158" s="1130"/>
      <c r="X158" s="1129"/>
      <c r="Y158" s="1128" t="s">
        <v>2831</v>
      </c>
      <c r="Z158" s="1130"/>
      <c r="AA158" s="1130"/>
      <c r="AB158" s="1129"/>
      <c r="AC158" s="1128" t="s">
        <v>2832</v>
      </c>
      <c r="AD158" s="1130"/>
      <c r="AE158" s="1130"/>
      <c r="AF158" s="1129"/>
      <c r="AG158" s="1128" t="s">
        <v>2833</v>
      </c>
      <c r="AH158" s="1129"/>
    </row>
    <row r="159" spans="1:34" ht="17.850000000000001" customHeight="1">
      <c r="A159" s="1107" t="s">
        <v>2597</v>
      </c>
      <c r="B159" s="1108"/>
      <c r="C159" s="1108"/>
      <c r="D159" s="1108"/>
      <c r="E159" s="1109"/>
      <c r="F159" s="1128" t="s">
        <v>2834</v>
      </c>
      <c r="G159" s="1129"/>
      <c r="H159" s="1128" t="s">
        <v>2835</v>
      </c>
      <c r="I159" s="1130"/>
      <c r="J159" s="1130"/>
      <c r="K159" s="1130"/>
      <c r="L159" s="1129"/>
      <c r="M159" s="1128" t="s">
        <v>2836</v>
      </c>
      <c r="N159" s="1130"/>
      <c r="O159" s="1129"/>
      <c r="P159" s="1128" t="s">
        <v>2837</v>
      </c>
      <c r="Q159" s="1130"/>
      <c r="R159" s="1130"/>
      <c r="S159" s="1129"/>
      <c r="T159" s="1128" t="s">
        <v>2838</v>
      </c>
      <c r="U159" s="1130"/>
      <c r="V159" s="1130"/>
      <c r="W159" s="1130"/>
      <c r="X159" s="1129"/>
      <c r="Y159" s="1128" t="s">
        <v>2839</v>
      </c>
      <c r="Z159" s="1130"/>
      <c r="AA159" s="1130"/>
      <c r="AB159" s="1129"/>
      <c r="AC159" s="1128" t="s">
        <v>2840</v>
      </c>
      <c r="AD159" s="1130"/>
      <c r="AE159" s="1130"/>
      <c r="AF159" s="1129"/>
      <c r="AG159" s="1128" t="s">
        <v>2841</v>
      </c>
      <c r="AH159" s="1129"/>
    </row>
    <row r="160" spans="1:34" ht="17.850000000000001" customHeight="1">
      <c r="A160" s="1107" t="s">
        <v>2515</v>
      </c>
      <c r="B160" s="1108"/>
      <c r="C160" s="1108"/>
      <c r="D160" s="1108"/>
      <c r="E160" s="1109"/>
      <c r="F160" s="1128" t="s">
        <v>2842</v>
      </c>
      <c r="G160" s="1129"/>
      <c r="H160" s="1128" t="s">
        <v>2843</v>
      </c>
      <c r="I160" s="1130"/>
      <c r="J160" s="1130"/>
      <c r="K160" s="1130"/>
      <c r="L160" s="1129"/>
      <c r="M160" s="1128" t="s">
        <v>2844</v>
      </c>
      <c r="N160" s="1130"/>
      <c r="O160" s="1129"/>
      <c r="P160" s="1128" t="s">
        <v>2845</v>
      </c>
      <c r="Q160" s="1130"/>
      <c r="R160" s="1130"/>
      <c r="S160" s="1129"/>
      <c r="T160" s="1128" t="s">
        <v>2844</v>
      </c>
      <c r="U160" s="1130"/>
      <c r="V160" s="1130"/>
      <c r="W160" s="1130"/>
      <c r="X160" s="1129"/>
      <c r="Y160" s="1128" t="s">
        <v>2845</v>
      </c>
      <c r="Z160" s="1130"/>
      <c r="AA160" s="1130"/>
      <c r="AB160" s="1129"/>
      <c r="AC160" s="1128" t="s">
        <v>2844</v>
      </c>
      <c r="AD160" s="1130"/>
      <c r="AE160" s="1130"/>
      <c r="AF160" s="1129"/>
      <c r="AG160" s="1128" t="s">
        <v>2845</v>
      </c>
      <c r="AH160" s="1129"/>
    </row>
    <row r="161" spans="1:34" ht="17.100000000000001" customHeight="1">
      <c r="A161" s="1107" t="s">
        <v>2846</v>
      </c>
      <c r="B161" s="1108"/>
      <c r="C161" s="1108"/>
      <c r="D161" s="1108"/>
      <c r="E161" s="1109"/>
      <c r="F161" s="1128" t="s">
        <v>895</v>
      </c>
      <c r="G161" s="1129"/>
      <c r="H161" s="1128" t="s">
        <v>895</v>
      </c>
      <c r="I161" s="1130"/>
      <c r="J161" s="1130"/>
      <c r="K161" s="1130"/>
      <c r="L161" s="1129"/>
      <c r="M161" s="1128" t="s">
        <v>895</v>
      </c>
      <c r="N161" s="1130"/>
      <c r="O161" s="1129"/>
      <c r="P161" s="1128" t="s">
        <v>895</v>
      </c>
      <c r="Q161" s="1130"/>
      <c r="R161" s="1130"/>
      <c r="S161" s="1129"/>
      <c r="T161" s="1128" t="s">
        <v>895</v>
      </c>
      <c r="U161" s="1130"/>
      <c r="V161" s="1130"/>
      <c r="W161" s="1130"/>
      <c r="X161" s="1129"/>
      <c r="Y161" s="1128" t="s">
        <v>895</v>
      </c>
      <c r="Z161" s="1130"/>
      <c r="AA161" s="1130"/>
      <c r="AB161" s="1129"/>
      <c r="AC161" s="1128" t="s">
        <v>895</v>
      </c>
      <c r="AD161" s="1130"/>
      <c r="AE161" s="1130"/>
      <c r="AF161" s="1129"/>
      <c r="AG161" s="1128" t="s">
        <v>895</v>
      </c>
      <c r="AH161" s="1129"/>
    </row>
    <row r="162" spans="1:34" ht="17.850000000000001" customHeight="1">
      <c r="A162" s="1107" t="s">
        <v>2597</v>
      </c>
      <c r="B162" s="1108"/>
      <c r="C162" s="1108"/>
      <c r="D162" s="1108"/>
      <c r="E162" s="1109"/>
      <c r="F162" s="1128" t="s">
        <v>895</v>
      </c>
      <c r="G162" s="1129"/>
      <c r="H162" s="1128" t="s">
        <v>895</v>
      </c>
      <c r="I162" s="1130"/>
      <c r="J162" s="1130"/>
      <c r="K162" s="1130"/>
      <c r="L162" s="1129"/>
      <c r="M162" s="1128" t="s">
        <v>895</v>
      </c>
      <c r="N162" s="1130"/>
      <c r="O162" s="1129"/>
      <c r="P162" s="1128" t="s">
        <v>895</v>
      </c>
      <c r="Q162" s="1130"/>
      <c r="R162" s="1130"/>
      <c r="S162" s="1129"/>
      <c r="T162" s="1128" t="s">
        <v>895</v>
      </c>
      <c r="U162" s="1130"/>
      <c r="V162" s="1130"/>
      <c r="W162" s="1130"/>
      <c r="X162" s="1129"/>
      <c r="Y162" s="1128" t="s">
        <v>895</v>
      </c>
      <c r="Z162" s="1130"/>
      <c r="AA162" s="1130"/>
      <c r="AB162" s="1129"/>
      <c r="AC162" s="1128" t="s">
        <v>895</v>
      </c>
      <c r="AD162" s="1130"/>
      <c r="AE162" s="1130"/>
      <c r="AF162" s="1129"/>
      <c r="AG162" s="1128" t="s">
        <v>895</v>
      </c>
      <c r="AH162" s="1129"/>
    </row>
    <row r="163" spans="1:34" ht="17.850000000000001" customHeight="1">
      <c r="A163" s="1107" t="s">
        <v>2515</v>
      </c>
      <c r="B163" s="1108"/>
      <c r="C163" s="1108"/>
      <c r="D163" s="1108"/>
      <c r="E163" s="1109"/>
      <c r="F163" s="1128" t="s">
        <v>895</v>
      </c>
      <c r="G163" s="1129"/>
      <c r="H163" s="1128" t="s">
        <v>895</v>
      </c>
      <c r="I163" s="1130"/>
      <c r="J163" s="1130"/>
      <c r="K163" s="1130"/>
      <c r="L163" s="1129"/>
      <c r="M163" s="1128" t="s">
        <v>895</v>
      </c>
      <c r="N163" s="1130"/>
      <c r="O163" s="1129"/>
      <c r="P163" s="1128" t="s">
        <v>895</v>
      </c>
      <c r="Q163" s="1130"/>
      <c r="R163" s="1130"/>
      <c r="S163" s="1129"/>
      <c r="T163" s="1128" t="s">
        <v>895</v>
      </c>
      <c r="U163" s="1130"/>
      <c r="V163" s="1130"/>
      <c r="W163" s="1130"/>
      <c r="X163" s="1129"/>
      <c r="Y163" s="1128" t="s">
        <v>895</v>
      </c>
      <c r="Z163" s="1130"/>
      <c r="AA163" s="1130"/>
      <c r="AB163" s="1129"/>
      <c r="AC163" s="1128" t="s">
        <v>895</v>
      </c>
      <c r="AD163" s="1130"/>
      <c r="AE163" s="1130"/>
      <c r="AF163" s="1129"/>
      <c r="AG163" s="1128" t="s">
        <v>895</v>
      </c>
      <c r="AH163" s="1129"/>
    </row>
    <row r="164" spans="1:34" ht="17.100000000000001" customHeight="1">
      <c r="A164" s="1107" t="s">
        <v>2847</v>
      </c>
      <c r="B164" s="1108"/>
      <c r="C164" s="1108"/>
      <c r="D164" s="1108"/>
      <c r="E164" s="1109"/>
      <c r="F164" s="1128" t="s">
        <v>2848</v>
      </c>
      <c r="G164" s="1129"/>
      <c r="H164" s="1128" t="s">
        <v>2849</v>
      </c>
      <c r="I164" s="1130"/>
      <c r="J164" s="1130"/>
      <c r="K164" s="1130"/>
      <c r="L164" s="1129"/>
      <c r="M164" s="1128" t="s">
        <v>2850</v>
      </c>
      <c r="N164" s="1130"/>
      <c r="O164" s="1129"/>
      <c r="P164" s="1128" t="s">
        <v>2851</v>
      </c>
      <c r="Q164" s="1130"/>
      <c r="R164" s="1130"/>
      <c r="S164" s="1129"/>
      <c r="T164" s="1128" t="s">
        <v>2852</v>
      </c>
      <c r="U164" s="1130"/>
      <c r="V164" s="1130"/>
      <c r="W164" s="1130"/>
      <c r="X164" s="1129"/>
      <c r="Y164" s="1128" t="s">
        <v>2853</v>
      </c>
      <c r="Z164" s="1130"/>
      <c r="AA164" s="1130"/>
      <c r="AB164" s="1129"/>
      <c r="AC164" s="1128" t="s">
        <v>2852</v>
      </c>
      <c r="AD164" s="1130"/>
      <c r="AE164" s="1130"/>
      <c r="AF164" s="1129"/>
      <c r="AG164" s="1128" t="s">
        <v>2853</v>
      </c>
      <c r="AH164" s="1129"/>
    </row>
    <row r="165" spans="1:34" ht="17.850000000000001" customHeight="1">
      <c r="A165" s="1107" t="s">
        <v>2597</v>
      </c>
      <c r="B165" s="1108"/>
      <c r="C165" s="1108"/>
      <c r="D165" s="1108"/>
      <c r="E165" s="1109"/>
      <c r="F165" s="1128" t="s">
        <v>2854</v>
      </c>
      <c r="G165" s="1129"/>
      <c r="H165" s="1128" t="s">
        <v>2855</v>
      </c>
      <c r="I165" s="1130"/>
      <c r="J165" s="1130"/>
      <c r="K165" s="1130"/>
      <c r="L165" s="1129"/>
      <c r="M165" s="1128" t="s">
        <v>868</v>
      </c>
      <c r="N165" s="1130"/>
      <c r="O165" s="1129"/>
      <c r="P165" s="1128" t="s">
        <v>2856</v>
      </c>
      <c r="Q165" s="1130"/>
      <c r="R165" s="1130"/>
      <c r="S165" s="1129"/>
      <c r="T165" s="1128" t="s">
        <v>829</v>
      </c>
      <c r="U165" s="1130"/>
      <c r="V165" s="1130"/>
      <c r="W165" s="1130"/>
      <c r="X165" s="1129"/>
      <c r="Y165" s="1128" t="s">
        <v>2857</v>
      </c>
      <c r="Z165" s="1130"/>
      <c r="AA165" s="1130"/>
      <c r="AB165" s="1129"/>
      <c r="AC165" s="1128" t="s">
        <v>829</v>
      </c>
      <c r="AD165" s="1130"/>
      <c r="AE165" s="1130"/>
      <c r="AF165" s="1129"/>
      <c r="AG165" s="1128" t="s">
        <v>2857</v>
      </c>
      <c r="AH165" s="1129"/>
    </row>
    <row r="166" spans="1:34" ht="17.100000000000001" customHeight="1">
      <c r="A166" s="1092" t="s">
        <v>2515</v>
      </c>
      <c r="B166" s="1093"/>
      <c r="C166" s="1093"/>
      <c r="D166" s="1093"/>
      <c r="E166" s="1094"/>
      <c r="F166" s="1131" t="s">
        <v>2858</v>
      </c>
      <c r="G166" s="1133"/>
      <c r="H166" s="1131" t="s">
        <v>2859</v>
      </c>
      <c r="I166" s="1132"/>
      <c r="J166" s="1132"/>
      <c r="K166" s="1132"/>
      <c r="L166" s="1133"/>
      <c r="M166" s="1131" t="s">
        <v>2860</v>
      </c>
      <c r="N166" s="1132"/>
      <c r="O166" s="1133"/>
      <c r="P166" s="1131" t="s">
        <v>2861</v>
      </c>
      <c r="Q166" s="1132"/>
      <c r="R166" s="1132"/>
      <c r="S166" s="1133"/>
      <c r="T166" s="1131" t="s">
        <v>2862</v>
      </c>
      <c r="U166" s="1132"/>
      <c r="V166" s="1132"/>
      <c r="W166" s="1132"/>
      <c r="X166" s="1133"/>
      <c r="Y166" s="1131" t="s">
        <v>2863</v>
      </c>
      <c r="Z166" s="1132"/>
      <c r="AA166" s="1132"/>
      <c r="AB166" s="1133"/>
      <c r="AC166" s="1131" t="s">
        <v>2862</v>
      </c>
      <c r="AD166" s="1132"/>
      <c r="AE166" s="1132"/>
      <c r="AF166" s="1133"/>
      <c r="AG166" s="1131" t="s">
        <v>2863</v>
      </c>
      <c r="AH166" s="1133"/>
    </row>
    <row r="167" spans="1:34" ht="17.850000000000001" customHeight="1">
      <c r="A167" s="1101" t="s">
        <v>2864</v>
      </c>
      <c r="B167" s="1102"/>
      <c r="C167" s="1102"/>
      <c r="D167" s="1102"/>
      <c r="E167" s="1103"/>
      <c r="F167" s="1104" t="s">
        <v>2865</v>
      </c>
      <c r="G167" s="1106"/>
      <c r="H167" s="1104" t="s">
        <v>2866</v>
      </c>
      <c r="I167" s="1105"/>
      <c r="J167" s="1105"/>
      <c r="K167" s="1105"/>
      <c r="L167" s="1106"/>
      <c r="M167" s="1104" t="s">
        <v>2867</v>
      </c>
      <c r="N167" s="1105"/>
      <c r="O167" s="1106"/>
      <c r="P167" s="1104" t="s">
        <v>2868</v>
      </c>
      <c r="Q167" s="1105"/>
      <c r="R167" s="1105"/>
      <c r="S167" s="1106"/>
      <c r="T167" s="1104" t="s">
        <v>2869</v>
      </c>
      <c r="U167" s="1105"/>
      <c r="V167" s="1105"/>
      <c r="W167" s="1105"/>
      <c r="X167" s="1106"/>
      <c r="Y167" s="1104" t="s">
        <v>2870</v>
      </c>
      <c r="Z167" s="1105"/>
      <c r="AA167" s="1105"/>
      <c r="AB167" s="1106"/>
      <c r="AC167" s="1104" t="s">
        <v>2871</v>
      </c>
      <c r="AD167" s="1105"/>
      <c r="AE167" s="1105"/>
      <c r="AF167" s="1106"/>
      <c r="AG167" s="1104" t="s">
        <v>2872</v>
      </c>
      <c r="AH167" s="1106"/>
    </row>
    <row r="168" spans="1:34" ht="11.85" customHeight="1">
      <c r="A168" s="778"/>
      <c r="B168" s="778"/>
      <c r="C168" s="778"/>
      <c r="D168" s="778"/>
      <c r="E168" s="778"/>
      <c r="F168" s="778"/>
      <c r="G168" s="778"/>
      <c r="H168" s="778"/>
      <c r="I168" s="778"/>
      <c r="J168" s="778"/>
      <c r="K168" s="778"/>
      <c r="L168" s="778"/>
      <c r="M168" s="778"/>
      <c r="N168" s="778"/>
      <c r="O168" s="778"/>
      <c r="P168" s="778"/>
      <c r="Q168" s="778"/>
      <c r="R168" s="778"/>
      <c r="S168" s="778"/>
      <c r="T168" s="778"/>
      <c r="U168" s="778"/>
      <c r="V168" s="778"/>
      <c r="W168" s="778"/>
      <c r="X168" s="778"/>
      <c r="Y168" s="778"/>
      <c r="Z168" s="778"/>
      <c r="AA168" s="778"/>
      <c r="AB168" s="778"/>
      <c r="AC168" s="778"/>
      <c r="AD168" s="778"/>
      <c r="AE168" s="778"/>
      <c r="AF168" s="778"/>
      <c r="AG168" s="778"/>
      <c r="AH168" s="778"/>
    </row>
    <row r="169" spans="1:34" ht="17.100000000000001" customHeight="1"/>
    <row r="170" spans="1:34" ht="11.85" customHeight="1">
      <c r="A170" s="779" t="s">
        <v>2640</v>
      </c>
      <c r="B170" s="779"/>
      <c r="C170" s="779"/>
      <c r="D170" s="779"/>
      <c r="E170" s="779"/>
      <c r="F170" s="779"/>
      <c r="G170" s="779"/>
      <c r="H170" s="779"/>
      <c r="I170" s="779"/>
      <c r="J170" s="779"/>
      <c r="K170" s="779"/>
      <c r="L170" s="779"/>
      <c r="M170" s="779"/>
      <c r="N170" s="779"/>
      <c r="O170" s="779"/>
      <c r="P170" s="779"/>
      <c r="Q170" s="779"/>
      <c r="R170" s="779"/>
      <c r="S170" s="779"/>
      <c r="T170" s="779"/>
      <c r="U170" s="779"/>
      <c r="V170" s="779"/>
      <c r="W170" s="779"/>
      <c r="X170" s="779"/>
      <c r="Y170" s="779"/>
      <c r="Z170" s="779"/>
      <c r="AA170" s="779"/>
      <c r="AB170" s="779"/>
      <c r="AC170" s="779"/>
      <c r="AD170" s="779"/>
      <c r="AE170" s="779"/>
      <c r="AF170" s="779"/>
      <c r="AG170" s="779"/>
    </row>
    <row r="171" spans="1:34" ht="5.85" customHeight="1"/>
    <row r="172" spans="1:34" ht="11.85" customHeight="1">
      <c r="A172" s="740" t="s">
        <v>1405</v>
      </c>
      <c r="B172" s="740"/>
      <c r="C172" s="740"/>
      <c r="D172" s="740"/>
      <c r="E172" s="740"/>
      <c r="F172" s="740"/>
      <c r="G172" s="740"/>
      <c r="AG172" s="512" t="s">
        <v>1973</v>
      </c>
    </row>
    <row r="173" spans="1:34" ht="11.1" customHeight="1">
      <c r="A173" s="740" t="s">
        <v>882</v>
      </c>
      <c r="B173" s="740"/>
      <c r="C173" s="740"/>
      <c r="D173" s="740"/>
      <c r="E173" s="740"/>
      <c r="F173" s="740"/>
      <c r="G173" s="740"/>
    </row>
    <row r="174" spans="1:34" ht="11.85" customHeight="1">
      <c r="A174" s="742" t="s">
        <v>2522</v>
      </c>
      <c r="B174" s="742"/>
      <c r="C174" s="742"/>
      <c r="D174" s="742"/>
      <c r="E174" s="742"/>
      <c r="F174" s="742"/>
      <c r="G174" s="742"/>
    </row>
    <row r="175" spans="1:34" ht="11.85" customHeight="1">
      <c r="A175" s="740" t="s">
        <v>1310</v>
      </c>
      <c r="B175" s="740"/>
      <c r="C175" s="740"/>
      <c r="D175" s="740"/>
      <c r="E175" s="740"/>
      <c r="F175" s="740"/>
      <c r="G175" s="740"/>
    </row>
    <row r="176" spans="1:34" ht="11.85" customHeight="1">
      <c r="A176" s="740" t="s">
        <v>885</v>
      </c>
      <c r="B176" s="740"/>
      <c r="C176" s="740"/>
      <c r="D176" s="740"/>
      <c r="E176" s="740"/>
      <c r="F176" s="740"/>
      <c r="G176" s="740"/>
    </row>
    <row r="177" spans="1:34" ht="5.85" customHeight="1"/>
    <row r="178" spans="1:34" ht="11.1" customHeight="1">
      <c r="A178" s="810" t="s">
        <v>2523</v>
      </c>
      <c r="B178" s="810"/>
      <c r="C178" s="810"/>
      <c r="D178" s="810"/>
      <c r="E178" s="810"/>
      <c r="F178" s="810"/>
      <c r="G178" s="810"/>
      <c r="H178" s="502"/>
      <c r="I178" s="502"/>
      <c r="J178" s="502"/>
      <c r="K178" s="502"/>
      <c r="L178" s="502"/>
      <c r="M178" s="502"/>
      <c r="N178" s="502"/>
      <c r="O178" s="502"/>
      <c r="P178" s="502"/>
      <c r="Q178" s="502"/>
      <c r="R178" s="502"/>
      <c r="S178" s="502"/>
      <c r="T178" s="502"/>
      <c r="U178" s="502"/>
      <c r="V178" s="502"/>
      <c r="W178" s="502"/>
      <c r="X178" s="502"/>
      <c r="Y178" s="502"/>
      <c r="Z178" s="502"/>
      <c r="AA178" s="502"/>
      <c r="AB178" s="502"/>
      <c r="AC178" s="502"/>
      <c r="AD178" s="502"/>
      <c r="AE178" s="502"/>
      <c r="AF178" s="502"/>
      <c r="AG178" s="502"/>
      <c r="AH178" s="502"/>
    </row>
    <row r="179" spans="1:34" ht="11.85" customHeight="1">
      <c r="A179" s="1075" t="s">
        <v>2873</v>
      </c>
      <c r="B179" s="1076"/>
      <c r="C179" s="1076"/>
      <c r="D179" s="1076"/>
      <c r="E179" s="1077"/>
      <c r="F179" s="757" t="s">
        <v>2578</v>
      </c>
      <c r="G179" s="1039"/>
      <c r="H179" s="757" t="s">
        <v>1889</v>
      </c>
      <c r="I179" s="1038"/>
      <c r="J179" s="1038"/>
      <c r="K179" s="1038"/>
      <c r="L179" s="1039"/>
      <c r="M179" s="751" t="s">
        <v>2579</v>
      </c>
      <c r="N179" s="1043"/>
      <c r="O179" s="1043"/>
      <c r="P179" s="1043"/>
      <c r="Q179" s="1043"/>
      <c r="R179" s="1043"/>
      <c r="S179" s="1044"/>
      <c r="T179" s="751" t="s">
        <v>2580</v>
      </c>
      <c r="U179" s="1043"/>
      <c r="V179" s="1043"/>
      <c r="W179" s="1043"/>
      <c r="X179" s="1043"/>
      <c r="Y179" s="1043"/>
      <c r="Z179" s="1043"/>
      <c r="AA179" s="1043"/>
      <c r="AB179" s="1044"/>
      <c r="AC179" s="751" t="s">
        <v>2581</v>
      </c>
      <c r="AD179" s="1043"/>
      <c r="AE179" s="1043"/>
      <c r="AF179" s="1043"/>
      <c r="AG179" s="1043"/>
      <c r="AH179" s="1044"/>
    </row>
    <row r="180" spans="1:34" ht="11.85" customHeight="1">
      <c r="A180" s="1113"/>
      <c r="B180" s="1114"/>
      <c r="C180" s="1114"/>
      <c r="D180" s="1114"/>
      <c r="E180" s="1115"/>
      <c r="F180" s="1135"/>
      <c r="G180" s="1136"/>
      <c r="H180" s="1135"/>
      <c r="I180" s="1146"/>
      <c r="J180" s="1146"/>
      <c r="K180" s="1146"/>
      <c r="L180" s="1136"/>
      <c r="M180" s="757" t="s">
        <v>2582</v>
      </c>
      <c r="N180" s="1038"/>
      <c r="O180" s="1039"/>
      <c r="P180" s="757" t="s">
        <v>2583</v>
      </c>
      <c r="Q180" s="1038"/>
      <c r="R180" s="1038"/>
      <c r="S180" s="1039"/>
      <c r="T180" s="757" t="s">
        <v>2584</v>
      </c>
      <c r="U180" s="1038"/>
      <c r="V180" s="1038"/>
      <c r="W180" s="1038"/>
      <c r="X180" s="1039"/>
      <c r="Y180" s="1134" t="s">
        <v>2585</v>
      </c>
      <c r="Z180" s="1038"/>
      <c r="AA180" s="1038"/>
      <c r="AB180" s="1039"/>
      <c r="AC180" s="757" t="s">
        <v>2586</v>
      </c>
      <c r="AD180" s="1038"/>
      <c r="AE180" s="1038"/>
      <c r="AF180" s="1039"/>
      <c r="AG180" s="757" t="s">
        <v>2587</v>
      </c>
      <c r="AH180" s="1039"/>
    </row>
    <row r="181" spans="1:34" ht="5.85" customHeight="1">
      <c r="A181" s="1078"/>
      <c r="B181" s="1079"/>
      <c r="C181" s="1079"/>
      <c r="D181" s="1079"/>
      <c r="E181" s="1080"/>
      <c r="F181" s="1040"/>
      <c r="G181" s="1042"/>
      <c r="H181" s="1040"/>
      <c r="I181" s="1041"/>
      <c r="J181" s="1041"/>
      <c r="K181" s="1041"/>
      <c r="L181" s="1042"/>
      <c r="M181" s="1040"/>
      <c r="N181" s="1041"/>
      <c r="O181" s="1042"/>
      <c r="P181" s="1040"/>
      <c r="Q181" s="1041"/>
      <c r="R181" s="1041"/>
      <c r="S181" s="1042"/>
      <c r="T181" s="1040"/>
      <c r="U181" s="1041"/>
      <c r="V181" s="1041"/>
      <c r="W181" s="1041"/>
      <c r="X181" s="1042"/>
      <c r="Y181" s="1140" t="s">
        <v>2874</v>
      </c>
      <c r="Z181" s="1141"/>
      <c r="AA181" s="1141"/>
      <c r="AB181" s="1142"/>
      <c r="AC181" s="1040"/>
      <c r="AD181" s="1041"/>
      <c r="AE181" s="1041"/>
      <c r="AF181" s="1042"/>
      <c r="AG181" s="1040"/>
      <c r="AH181" s="1042"/>
    </row>
    <row r="182" spans="1:34" ht="11.1" customHeight="1">
      <c r="A182" s="1122" t="s">
        <v>2875</v>
      </c>
      <c r="B182" s="1123"/>
      <c r="C182" s="1123"/>
      <c r="D182" s="1123"/>
      <c r="E182" s="1124"/>
      <c r="F182" s="1048" t="s">
        <v>2876</v>
      </c>
      <c r="G182" s="1050"/>
      <c r="H182" s="1048" t="s">
        <v>2877</v>
      </c>
      <c r="I182" s="1049"/>
      <c r="J182" s="1049"/>
      <c r="K182" s="1049"/>
      <c r="L182" s="1050"/>
      <c r="M182" s="1125" t="s">
        <v>2878</v>
      </c>
      <c r="N182" s="1127"/>
      <c r="O182" s="1126"/>
      <c r="P182" s="1125" t="s">
        <v>2879</v>
      </c>
      <c r="Q182" s="1127"/>
      <c r="R182" s="1127"/>
      <c r="S182" s="1126"/>
      <c r="T182" s="1125" t="s">
        <v>2880</v>
      </c>
      <c r="U182" s="1127"/>
      <c r="V182" s="1127"/>
      <c r="W182" s="1127"/>
      <c r="X182" s="1126"/>
      <c r="Y182" s="1143"/>
      <c r="Z182" s="1144"/>
      <c r="AA182" s="1144"/>
      <c r="AB182" s="1145"/>
      <c r="AC182" s="1125" t="s">
        <v>2881</v>
      </c>
      <c r="AD182" s="1127"/>
      <c r="AE182" s="1127"/>
      <c r="AF182" s="1126"/>
      <c r="AG182" s="1125" t="s">
        <v>2882</v>
      </c>
      <c r="AH182" s="1126"/>
    </row>
    <row r="183" spans="1:34" ht="5.85" customHeight="1">
      <c r="A183" s="1138"/>
      <c r="B183" s="1108"/>
      <c r="C183" s="1108"/>
      <c r="D183" s="1108"/>
      <c r="E183" s="1109"/>
      <c r="F183" s="1139"/>
      <c r="G183" s="1056"/>
      <c r="H183" s="1139"/>
      <c r="I183" s="1055"/>
      <c r="J183" s="1055"/>
      <c r="K183" s="1055"/>
      <c r="L183" s="1056"/>
      <c r="M183" s="1137"/>
      <c r="N183" s="1130"/>
      <c r="O183" s="1129"/>
      <c r="P183" s="1137"/>
      <c r="Q183" s="1130"/>
      <c r="R183" s="1130"/>
      <c r="S183" s="1129"/>
      <c r="T183" s="1137"/>
      <c r="U183" s="1130"/>
      <c r="V183" s="1130"/>
      <c r="W183" s="1130"/>
      <c r="X183" s="1129"/>
      <c r="Y183" s="1128" t="s">
        <v>2883</v>
      </c>
      <c r="Z183" s="1130"/>
      <c r="AA183" s="1130"/>
      <c r="AB183" s="1129"/>
      <c r="AC183" s="1137"/>
      <c r="AD183" s="1130"/>
      <c r="AE183" s="1130"/>
      <c r="AF183" s="1129"/>
      <c r="AG183" s="1137"/>
      <c r="AH183" s="1129"/>
    </row>
    <row r="184" spans="1:34" ht="11.85" customHeight="1">
      <c r="A184" s="1107" t="s">
        <v>2884</v>
      </c>
      <c r="B184" s="1108"/>
      <c r="C184" s="1108"/>
      <c r="D184" s="1108"/>
      <c r="E184" s="1109"/>
      <c r="F184" s="1054" t="s">
        <v>2885</v>
      </c>
      <c r="G184" s="1056"/>
      <c r="H184" s="1054" t="s">
        <v>2886</v>
      </c>
      <c r="I184" s="1055"/>
      <c r="J184" s="1055"/>
      <c r="K184" s="1055"/>
      <c r="L184" s="1056"/>
      <c r="M184" s="1128" t="s">
        <v>2887</v>
      </c>
      <c r="N184" s="1130"/>
      <c r="O184" s="1129"/>
      <c r="P184" s="1128" t="s">
        <v>2888</v>
      </c>
      <c r="Q184" s="1130"/>
      <c r="R184" s="1130"/>
      <c r="S184" s="1129"/>
      <c r="T184" s="1128" t="s">
        <v>2889</v>
      </c>
      <c r="U184" s="1130"/>
      <c r="V184" s="1130"/>
      <c r="W184" s="1130"/>
      <c r="X184" s="1129"/>
      <c r="Y184" s="1137"/>
      <c r="Z184" s="1130"/>
      <c r="AA184" s="1130"/>
      <c r="AB184" s="1129"/>
      <c r="AC184" s="1128" t="s">
        <v>2890</v>
      </c>
      <c r="AD184" s="1130"/>
      <c r="AE184" s="1130"/>
      <c r="AF184" s="1129"/>
      <c r="AG184" s="1128" t="s">
        <v>2891</v>
      </c>
      <c r="AH184" s="1129"/>
    </row>
    <row r="185" spans="1:34" ht="5.85" customHeight="1">
      <c r="A185" s="1138"/>
      <c r="B185" s="1108"/>
      <c r="C185" s="1108"/>
      <c r="D185" s="1108"/>
      <c r="E185" s="1109"/>
      <c r="F185" s="1139"/>
      <c r="G185" s="1056"/>
      <c r="H185" s="1139"/>
      <c r="I185" s="1055"/>
      <c r="J185" s="1055"/>
      <c r="K185" s="1055"/>
      <c r="L185" s="1056"/>
      <c r="M185" s="1137"/>
      <c r="N185" s="1130"/>
      <c r="O185" s="1129"/>
      <c r="P185" s="1137"/>
      <c r="Q185" s="1130"/>
      <c r="R185" s="1130"/>
      <c r="S185" s="1129"/>
      <c r="T185" s="1137"/>
      <c r="U185" s="1130"/>
      <c r="V185" s="1130"/>
      <c r="W185" s="1130"/>
      <c r="X185" s="1129"/>
      <c r="Y185" s="1128" t="s">
        <v>2892</v>
      </c>
      <c r="Z185" s="1130"/>
      <c r="AA185" s="1130"/>
      <c r="AB185" s="1129"/>
      <c r="AC185" s="1137"/>
      <c r="AD185" s="1130"/>
      <c r="AE185" s="1130"/>
      <c r="AF185" s="1129"/>
      <c r="AG185" s="1137"/>
      <c r="AH185" s="1129"/>
    </row>
    <row r="186" spans="1:34" ht="11.85" customHeight="1">
      <c r="A186" s="1107" t="s">
        <v>2893</v>
      </c>
      <c r="B186" s="1108"/>
      <c r="C186" s="1108"/>
      <c r="D186" s="1108"/>
      <c r="E186" s="1109"/>
      <c r="F186" s="1054" t="s">
        <v>2894</v>
      </c>
      <c r="G186" s="1056"/>
      <c r="H186" s="1054" t="s">
        <v>2895</v>
      </c>
      <c r="I186" s="1055"/>
      <c r="J186" s="1055"/>
      <c r="K186" s="1055"/>
      <c r="L186" s="1056"/>
      <c r="M186" s="1128" t="s">
        <v>2896</v>
      </c>
      <c r="N186" s="1130"/>
      <c r="O186" s="1129"/>
      <c r="P186" s="1128" t="s">
        <v>2897</v>
      </c>
      <c r="Q186" s="1130"/>
      <c r="R186" s="1130"/>
      <c r="S186" s="1129"/>
      <c r="T186" s="1128" t="s">
        <v>2898</v>
      </c>
      <c r="U186" s="1130"/>
      <c r="V186" s="1130"/>
      <c r="W186" s="1130"/>
      <c r="X186" s="1129"/>
      <c r="Y186" s="1137"/>
      <c r="Z186" s="1130"/>
      <c r="AA186" s="1130"/>
      <c r="AB186" s="1129"/>
      <c r="AC186" s="1128" t="s">
        <v>2899</v>
      </c>
      <c r="AD186" s="1130"/>
      <c r="AE186" s="1130"/>
      <c r="AF186" s="1129"/>
      <c r="AG186" s="1128" t="s">
        <v>2900</v>
      </c>
      <c r="AH186" s="1129"/>
    </row>
    <row r="187" spans="1:34" ht="5.85" customHeight="1">
      <c r="A187" s="1138"/>
      <c r="B187" s="1108"/>
      <c r="C187" s="1108"/>
      <c r="D187" s="1108"/>
      <c r="E187" s="1109"/>
      <c r="F187" s="1139"/>
      <c r="G187" s="1056"/>
      <c r="H187" s="1139"/>
      <c r="I187" s="1055"/>
      <c r="J187" s="1055"/>
      <c r="K187" s="1055"/>
      <c r="L187" s="1056"/>
      <c r="M187" s="1137"/>
      <c r="N187" s="1130"/>
      <c r="O187" s="1129"/>
      <c r="P187" s="1137"/>
      <c r="Q187" s="1130"/>
      <c r="R187" s="1130"/>
      <c r="S187" s="1129"/>
      <c r="T187" s="1137"/>
      <c r="U187" s="1130"/>
      <c r="V187" s="1130"/>
      <c r="W187" s="1130"/>
      <c r="X187" s="1129"/>
      <c r="Y187" s="1128" t="s">
        <v>2901</v>
      </c>
      <c r="Z187" s="1130"/>
      <c r="AA187" s="1130"/>
      <c r="AB187" s="1129"/>
      <c r="AC187" s="1137"/>
      <c r="AD187" s="1130"/>
      <c r="AE187" s="1130"/>
      <c r="AF187" s="1129"/>
      <c r="AG187" s="1137"/>
      <c r="AH187" s="1129"/>
    </row>
    <row r="188" spans="1:34" ht="11.1" customHeight="1">
      <c r="A188" s="1107" t="s">
        <v>2902</v>
      </c>
      <c r="B188" s="1108"/>
      <c r="C188" s="1108"/>
      <c r="D188" s="1108"/>
      <c r="E188" s="1109"/>
      <c r="F188" s="1054" t="s">
        <v>2903</v>
      </c>
      <c r="G188" s="1056"/>
      <c r="H188" s="1054" t="s">
        <v>2904</v>
      </c>
      <c r="I188" s="1055"/>
      <c r="J188" s="1055"/>
      <c r="K188" s="1055"/>
      <c r="L188" s="1056"/>
      <c r="M188" s="1128" t="s">
        <v>2905</v>
      </c>
      <c r="N188" s="1130"/>
      <c r="O188" s="1129"/>
      <c r="P188" s="1128" t="s">
        <v>2906</v>
      </c>
      <c r="Q188" s="1130"/>
      <c r="R188" s="1130"/>
      <c r="S188" s="1129"/>
      <c r="T188" s="1128" t="s">
        <v>2907</v>
      </c>
      <c r="U188" s="1130"/>
      <c r="V188" s="1130"/>
      <c r="W188" s="1130"/>
      <c r="X188" s="1129"/>
      <c r="Y188" s="1137"/>
      <c r="Z188" s="1130"/>
      <c r="AA188" s="1130"/>
      <c r="AB188" s="1129"/>
      <c r="AC188" s="1128" t="s">
        <v>2908</v>
      </c>
      <c r="AD188" s="1130"/>
      <c r="AE188" s="1130"/>
      <c r="AF188" s="1129"/>
      <c r="AG188" s="1128" t="s">
        <v>2909</v>
      </c>
      <c r="AH188" s="1129"/>
    </row>
    <row r="189" spans="1:34" ht="5.85" customHeight="1">
      <c r="A189" s="1138"/>
      <c r="B189" s="1108"/>
      <c r="C189" s="1108"/>
      <c r="D189" s="1108"/>
      <c r="E189" s="1109"/>
      <c r="F189" s="1139"/>
      <c r="G189" s="1056"/>
      <c r="H189" s="1139"/>
      <c r="I189" s="1055"/>
      <c r="J189" s="1055"/>
      <c r="K189" s="1055"/>
      <c r="L189" s="1056"/>
      <c r="M189" s="1137"/>
      <c r="N189" s="1130"/>
      <c r="O189" s="1129"/>
      <c r="P189" s="1137"/>
      <c r="Q189" s="1130"/>
      <c r="R189" s="1130"/>
      <c r="S189" s="1129"/>
      <c r="T189" s="1137"/>
      <c r="U189" s="1130"/>
      <c r="V189" s="1130"/>
      <c r="W189" s="1130"/>
      <c r="X189" s="1129"/>
      <c r="Y189" s="1128" t="s">
        <v>2910</v>
      </c>
      <c r="Z189" s="1130"/>
      <c r="AA189" s="1130"/>
      <c r="AB189" s="1129"/>
      <c r="AC189" s="1137"/>
      <c r="AD189" s="1130"/>
      <c r="AE189" s="1130"/>
      <c r="AF189" s="1129"/>
      <c r="AG189" s="1137"/>
      <c r="AH189" s="1129"/>
    </row>
    <row r="190" spans="1:34" ht="11.85" customHeight="1">
      <c r="A190" s="1107" t="s">
        <v>2911</v>
      </c>
      <c r="B190" s="1108"/>
      <c r="C190" s="1108"/>
      <c r="D190" s="1108"/>
      <c r="E190" s="1109"/>
      <c r="F190" s="1054" t="s">
        <v>2912</v>
      </c>
      <c r="G190" s="1056"/>
      <c r="H190" s="1054" t="s">
        <v>2913</v>
      </c>
      <c r="I190" s="1055"/>
      <c r="J190" s="1055"/>
      <c r="K190" s="1055"/>
      <c r="L190" s="1056"/>
      <c r="M190" s="1128" t="s">
        <v>2914</v>
      </c>
      <c r="N190" s="1130"/>
      <c r="O190" s="1129"/>
      <c r="P190" s="1128" t="s">
        <v>2915</v>
      </c>
      <c r="Q190" s="1130"/>
      <c r="R190" s="1130"/>
      <c r="S190" s="1129"/>
      <c r="T190" s="1128" t="s">
        <v>2916</v>
      </c>
      <c r="U190" s="1130"/>
      <c r="V190" s="1130"/>
      <c r="W190" s="1130"/>
      <c r="X190" s="1129"/>
      <c r="Y190" s="1137"/>
      <c r="Z190" s="1130"/>
      <c r="AA190" s="1130"/>
      <c r="AB190" s="1129"/>
      <c r="AC190" s="1128" t="s">
        <v>2917</v>
      </c>
      <c r="AD190" s="1130"/>
      <c r="AE190" s="1130"/>
      <c r="AF190" s="1129"/>
      <c r="AG190" s="1128" t="s">
        <v>2918</v>
      </c>
      <c r="AH190" s="1129"/>
    </row>
    <row r="191" spans="1:34" ht="5.85" customHeight="1">
      <c r="A191" s="1138"/>
      <c r="B191" s="1108"/>
      <c r="C191" s="1108"/>
      <c r="D191" s="1108"/>
      <c r="E191" s="1109"/>
      <c r="F191" s="1139"/>
      <c r="G191" s="1056"/>
      <c r="H191" s="1139"/>
      <c r="I191" s="1055"/>
      <c r="J191" s="1055"/>
      <c r="K191" s="1055"/>
      <c r="L191" s="1056"/>
      <c r="M191" s="1137"/>
      <c r="N191" s="1130"/>
      <c r="O191" s="1129"/>
      <c r="P191" s="1137"/>
      <c r="Q191" s="1130"/>
      <c r="R191" s="1130"/>
      <c r="S191" s="1129"/>
      <c r="T191" s="1137"/>
      <c r="U191" s="1130"/>
      <c r="V191" s="1130"/>
      <c r="W191" s="1130"/>
      <c r="X191" s="1129"/>
      <c r="Y191" s="1128" t="s">
        <v>895</v>
      </c>
      <c r="Z191" s="1130"/>
      <c r="AA191" s="1130"/>
      <c r="AB191" s="1129"/>
      <c r="AC191" s="1137"/>
      <c r="AD191" s="1130"/>
      <c r="AE191" s="1130"/>
      <c r="AF191" s="1129"/>
      <c r="AG191" s="1137"/>
      <c r="AH191" s="1129"/>
    </row>
    <row r="192" spans="1:34" ht="11.85" customHeight="1">
      <c r="A192" s="1107" t="s">
        <v>2919</v>
      </c>
      <c r="B192" s="1108"/>
      <c r="C192" s="1108"/>
      <c r="D192" s="1108"/>
      <c r="E192" s="1109"/>
      <c r="F192" s="1054" t="s">
        <v>895</v>
      </c>
      <c r="G192" s="1056"/>
      <c r="H192" s="1054" t="s">
        <v>895</v>
      </c>
      <c r="I192" s="1055"/>
      <c r="J192" s="1055"/>
      <c r="K192" s="1055"/>
      <c r="L192" s="1056"/>
      <c r="M192" s="1128" t="s">
        <v>895</v>
      </c>
      <c r="N192" s="1130"/>
      <c r="O192" s="1129"/>
      <c r="P192" s="1128" t="s">
        <v>895</v>
      </c>
      <c r="Q192" s="1130"/>
      <c r="R192" s="1130"/>
      <c r="S192" s="1129"/>
      <c r="T192" s="1128" t="s">
        <v>895</v>
      </c>
      <c r="U192" s="1130"/>
      <c r="V192" s="1130"/>
      <c r="W192" s="1130"/>
      <c r="X192" s="1129"/>
      <c r="Y192" s="1137"/>
      <c r="Z192" s="1130"/>
      <c r="AA192" s="1130"/>
      <c r="AB192" s="1129"/>
      <c r="AC192" s="1128" t="s">
        <v>895</v>
      </c>
      <c r="AD192" s="1130"/>
      <c r="AE192" s="1130"/>
      <c r="AF192" s="1129"/>
      <c r="AG192" s="1128" t="s">
        <v>895</v>
      </c>
      <c r="AH192" s="1129"/>
    </row>
    <row r="193" spans="1:34" ht="5.0999999999999996" customHeight="1">
      <c r="A193" s="1138"/>
      <c r="B193" s="1108"/>
      <c r="C193" s="1108"/>
      <c r="D193" s="1108"/>
      <c r="E193" s="1109"/>
      <c r="F193" s="1139"/>
      <c r="G193" s="1056"/>
      <c r="H193" s="1139"/>
      <c r="I193" s="1055"/>
      <c r="J193" s="1055"/>
      <c r="K193" s="1055"/>
      <c r="L193" s="1056"/>
      <c r="M193" s="1137"/>
      <c r="N193" s="1130"/>
      <c r="O193" s="1129"/>
      <c r="P193" s="1137"/>
      <c r="Q193" s="1130"/>
      <c r="R193" s="1130"/>
      <c r="S193" s="1129"/>
      <c r="T193" s="1137"/>
      <c r="U193" s="1130"/>
      <c r="V193" s="1130"/>
      <c r="W193" s="1130"/>
      <c r="X193" s="1129"/>
      <c r="Y193" s="1128" t="s">
        <v>2920</v>
      </c>
      <c r="Z193" s="1130"/>
      <c r="AA193" s="1130"/>
      <c r="AB193" s="1129"/>
      <c r="AC193" s="1137"/>
      <c r="AD193" s="1130"/>
      <c r="AE193" s="1130"/>
      <c r="AF193" s="1129"/>
      <c r="AG193" s="1137"/>
      <c r="AH193" s="1129"/>
    </row>
    <row r="194" spans="1:34" ht="11.85" customHeight="1">
      <c r="A194" s="1092" t="s">
        <v>2649</v>
      </c>
      <c r="B194" s="1108"/>
      <c r="C194" s="1108"/>
      <c r="D194" s="1108"/>
      <c r="E194" s="1109"/>
      <c r="F194" s="1069" t="s">
        <v>2921</v>
      </c>
      <c r="G194" s="1056"/>
      <c r="H194" s="1069" t="s">
        <v>2922</v>
      </c>
      <c r="I194" s="1055"/>
      <c r="J194" s="1055"/>
      <c r="K194" s="1055"/>
      <c r="L194" s="1056"/>
      <c r="M194" s="1131" t="s">
        <v>2923</v>
      </c>
      <c r="N194" s="1130"/>
      <c r="O194" s="1129"/>
      <c r="P194" s="1131" t="s">
        <v>2924</v>
      </c>
      <c r="Q194" s="1130"/>
      <c r="R194" s="1130"/>
      <c r="S194" s="1129"/>
      <c r="T194" s="1131" t="s">
        <v>2925</v>
      </c>
      <c r="U194" s="1130"/>
      <c r="V194" s="1130"/>
      <c r="W194" s="1130"/>
      <c r="X194" s="1129"/>
      <c r="Y194" s="1137"/>
      <c r="Z194" s="1130"/>
      <c r="AA194" s="1130"/>
      <c r="AB194" s="1129"/>
      <c r="AC194" s="1131" t="s">
        <v>2926</v>
      </c>
      <c r="AD194" s="1130"/>
      <c r="AE194" s="1130"/>
      <c r="AF194" s="1129"/>
      <c r="AG194" s="1131" t="s">
        <v>2927</v>
      </c>
      <c r="AH194" s="1129"/>
    </row>
    <row r="195" spans="1:34" ht="5.85" customHeight="1">
      <c r="A195" s="1164"/>
      <c r="B195" s="1093"/>
      <c r="C195" s="1093"/>
      <c r="D195" s="1093"/>
      <c r="E195" s="1094"/>
      <c r="F195" s="1165"/>
      <c r="G195" s="1071"/>
      <c r="H195" s="1165"/>
      <c r="I195" s="1070"/>
      <c r="J195" s="1070"/>
      <c r="K195" s="1070"/>
      <c r="L195" s="1071"/>
      <c r="M195" s="1147"/>
      <c r="N195" s="1132"/>
      <c r="O195" s="1133"/>
      <c r="P195" s="1147"/>
      <c r="Q195" s="1132"/>
      <c r="R195" s="1132"/>
      <c r="S195" s="1133"/>
      <c r="T195" s="1147"/>
      <c r="U195" s="1132"/>
      <c r="V195" s="1132"/>
      <c r="W195" s="1132"/>
      <c r="X195" s="1133"/>
      <c r="Y195" s="1128" t="s">
        <v>2928</v>
      </c>
      <c r="Z195" s="1132"/>
      <c r="AA195" s="1132"/>
      <c r="AB195" s="1133"/>
      <c r="AC195" s="1147"/>
      <c r="AD195" s="1132"/>
      <c r="AE195" s="1132"/>
      <c r="AF195" s="1133"/>
      <c r="AG195" s="1147"/>
      <c r="AH195" s="1133"/>
    </row>
    <row r="196" spans="1:34" ht="11.85" customHeight="1">
      <c r="A196" s="1101" t="s">
        <v>2929</v>
      </c>
      <c r="B196" s="1149"/>
      <c r="C196" s="1149"/>
      <c r="D196" s="1149"/>
      <c r="E196" s="1150"/>
      <c r="F196" s="1084" t="s">
        <v>2930</v>
      </c>
      <c r="G196" s="1154"/>
      <c r="H196" s="1084" t="s">
        <v>2931</v>
      </c>
      <c r="I196" s="1157"/>
      <c r="J196" s="1157"/>
      <c r="K196" s="1157"/>
      <c r="L196" s="1154"/>
      <c r="M196" s="1104" t="s">
        <v>2932</v>
      </c>
      <c r="N196" s="1159"/>
      <c r="O196" s="1160"/>
      <c r="P196" s="1104" t="s">
        <v>2933</v>
      </c>
      <c r="Q196" s="1159"/>
      <c r="R196" s="1159"/>
      <c r="S196" s="1160"/>
      <c r="T196" s="1104" t="s">
        <v>2934</v>
      </c>
      <c r="U196" s="1159"/>
      <c r="V196" s="1159"/>
      <c r="W196" s="1159"/>
      <c r="X196" s="1160"/>
      <c r="Y196" s="1148"/>
      <c r="Z196" s="1127"/>
      <c r="AA196" s="1127"/>
      <c r="AB196" s="1126"/>
      <c r="AC196" s="1104" t="s">
        <v>2935</v>
      </c>
      <c r="AD196" s="1159"/>
      <c r="AE196" s="1159"/>
      <c r="AF196" s="1160"/>
      <c r="AG196" s="1104" t="s">
        <v>2936</v>
      </c>
      <c r="AH196" s="1160"/>
    </row>
    <row r="197" spans="1:34" ht="5.85" customHeight="1">
      <c r="A197" s="1151"/>
      <c r="B197" s="1152"/>
      <c r="C197" s="1152"/>
      <c r="D197" s="1152"/>
      <c r="E197" s="1153"/>
      <c r="F197" s="1155"/>
      <c r="G197" s="1156"/>
      <c r="H197" s="1155"/>
      <c r="I197" s="1158"/>
      <c r="J197" s="1158"/>
      <c r="K197" s="1158"/>
      <c r="L197" s="1156"/>
      <c r="M197" s="1161"/>
      <c r="N197" s="1162"/>
      <c r="O197" s="1163"/>
      <c r="P197" s="1161"/>
      <c r="Q197" s="1162"/>
      <c r="R197" s="1162"/>
      <c r="S197" s="1163"/>
      <c r="T197" s="1161"/>
      <c r="U197" s="1162"/>
      <c r="V197" s="1162"/>
      <c r="W197" s="1162"/>
      <c r="X197" s="1163"/>
      <c r="Y197" s="1166" t="s">
        <v>2870</v>
      </c>
      <c r="Z197" s="1162"/>
      <c r="AA197" s="1162"/>
      <c r="AB197" s="1163"/>
      <c r="AC197" s="1161"/>
      <c r="AD197" s="1162"/>
      <c r="AE197" s="1162"/>
      <c r="AF197" s="1163"/>
      <c r="AG197" s="1161"/>
      <c r="AH197" s="1163"/>
    </row>
    <row r="198" spans="1:34" ht="11.1" customHeight="1">
      <c r="A198" s="1168" t="s">
        <v>2937</v>
      </c>
      <c r="B198" s="1123"/>
      <c r="C198" s="1123"/>
      <c r="D198" s="1123"/>
      <c r="E198" s="1124"/>
      <c r="F198" s="1089" t="s">
        <v>2938</v>
      </c>
      <c r="G198" s="1050"/>
      <c r="H198" s="1089" t="s">
        <v>2939</v>
      </c>
      <c r="I198" s="1049"/>
      <c r="J198" s="1049"/>
      <c r="K198" s="1049"/>
      <c r="L198" s="1050"/>
      <c r="M198" s="1095" t="s">
        <v>2867</v>
      </c>
      <c r="N198" s="1127"/>
      <c r="O198" s="1126"/>
      <c r="P198" s="1095" t="s">
        <v>2868</v>
      </c>
      <c r="Q198" s="1127"/>
      <c r="R198" s="1127"/>
      <c r="S198" s="1126"/>
      <c r="T198" s="1095" t="s">
        <v>2869</v>
      </c>
      <c r="U198" s="1127"/>
      <c r="V198" s="1127"/>
      <c r="W198" s="1127"/>
      <c r="X198" s="1126"/>
      <c r="Y198" s="1167"/>
      <c r="Z198" s="1159"/>
      <c r="AA198" s="1159"/>
      <c r="AB198" s="1160"/>
      <c r="AC198" s="1095" t="s">
        <v>2871</v>
      </c>
      <c r="AD198" s="1127"/>
      <c r="AE198" s="1127"/>
      <c r="AF198" s="1126"/>
      <c r="AG198" s="1095" t="s">
        <v>2872</v>
      </c>
      <c r="AH198" s="1126"/>
    </row>
    <row r="199" spans="1:34" ht="5.85" customHeight="1">
      <c r="A199" s="1164"/>
      <c r="B199" s="1093"/>
      <c r="C199" s="1093"/>
      <c r="D199" s="1093"/>
      <c r="E199" s="1094"/>
      <c r="F199" s="1165"/>
      <c r="G199" s="1071"/>
      <c r="H199" s="1165"/>
      <c r="I199" s="1070"/>
      <c r="J199" s="1070"/>
      <c r="K199" s="1070"/>
      <c r="L199" s="1071"/>
      <c r="M199" s="1147"/>
      <c r="N199" s="1132"/>
      <c r="O199" s="1133"/>
      <c r="P199" s="1147"/>
      <c r="Q199" s="1132"/>
      <c r="R199" s="1132"/>
      <c r="S199" s="1133"/>
      <c r="T199" s="1147"/>
      <c r="U199" s="1132"/>
      <c r="V199" s="1132"/>
      <c r="W199" s="1132"/>
      <c r="X199" s="1133"/>
      <c r="Y199" s="1128" t="s">
        <v>2673</v>
      </c>
      <c r="Z199" s="1132"/>
      <c r="AA199" s="1132"/>
      <c r="AB199" s="1133"/>
      <c r="AC199" s="1147"/>
      <c r="AD199" s="1132"/>
      <c r="AE199" s="1132"/>
      <c r="AF199" s="1133"/>
      <c r="AG199" s="1147"/>
      <c r="AH199" s="1133"/>
    </row>
    <row r="200" spans="1:34" ht="11.85" customHeight="1">
      <c r="A200" s="1101" t="s">
        <v>2940</v>
      </c>
      <c r="B200" s="1149"/>
      <c r="C200" s="1149"/>
      <c r="D200" s="1149"/>
      <c r="E200" s="1150"/>
      <c r="F200" s="1084" t="s">
        <v>2941</v>
      </c>
      <c r="G200" s="1154"/>
      <c r="H200" s="1084" t="s">
        <v>2941</v>
      </c>
      <c r="I200" s="1157"/>
      <c r="J200" s="1157"/>
      <c r="K200" s="1157"/>
      <c r="L200" s="1154"/>
      <c r="M200" s="1104" t="s">
        <v>985</v>
      </c>
      <c r="N200" s="1159"/>
      <c r="O200" s="1160"/>
      <c r="P200" s="1104" t="s">
        <v>2672</v>
      </c>
      <c r="Q200" s="1159"/>
      <c r="R200" s="1159"/>
      <c r="S200" s="1160"/>
      <c r="T200" s="1104" t="s">
        <v>1186</v>
      </c>
      <c r="U200" s="1159"/>
      <c r="V200" s="1159"/>
      <c r="W200" s="1159"/>
      <c r="X200" s="1160"/>
      <c r="Y200" s="1148"/>
      <c r="Z200" s="1127"/>
      <c r="AA200" s="1127"/>
      <c r="AB200" s="1126"/>
      <c r="AC200" s="1104" t="s">
        <v>1250</v>
      </c>
      <c r="AD200" s="1159"/>
      <c r="AE200" s="1159"/>
      <c r="AF200" s="1160"/>
      <c r="AG200" s="1104" t="s">
        <v>2674</v>
      </c>
      <c r="AH200" s="1160"/>
    </row>
    <row r="201" spans="1:34" ht="5.85" customHeight="1">
      <c r="A201" s="1151"/>
      <c r="B201" s="1152"/>
      <c r="C201" s="1152"/>
      <c r="D201" s="1152"/>
      <c r="E201" s="1153"/>
      <c r="F201" s="1155"/>
      <c r="G201" s="1156"/>
      <c r="H201" s="1155"/>
      <c r="I201" s="1158"/>
      <c r="J201" s="1158"/>
      <c r="K201" s="1158"/>
      <c r="L201" s="1156"/>
      <c r="M201" s="1161"/>
      <c r="N201" s="1162"/>
      <c r="O201" s="1163"/>
      <c r="P201" s="1161"/>
      <c r="Q201" s="1162"/>
      <c r="R201" s="1162"/>
      <c r="S201" s="1163"/>
      <c r="T201" s="1161"/>
      <c r="U201" s="1162"/>
      <c r="V201" s="1162"/>
      <c r="W201" s="1162"/>
      <c r="X201" s="1163"/>
      <c r="Y201" s="1169"/>
      <c r="Z201" s="1170"/>
      <c r="AA201" s="1170"/>
      <c r="AB201" s="1171"/>
      <c r="AC201" s="1161"/>
      <c r="AD201" s="1162"/>
      <c r="AE201" s="1162"/>
      <c r="AF201" s="1163"/>
      <c r="AG201" s="1161"/>
      <c r="AH201" s="1163"/>
    </row>
    <row r="202" spans="1:34" ht="11.85" customHeight="1">
      <c r="A202" s="778"/>
      <c r="B202" s="838"/>
      <c r="C202" s="838"/>
      <c r="D202" s="838"/>
      <c r="E202" s="838"/>
      <c r="F202" s="838"/>
      <c r="G202" s="838"/>
      <c r="H202" s="838"/>
      <c r="I202" s="838"/>
      <c r="J202" s="838"/>
      <c r="K202" s="838"/>
      <c r="L202" s="838"/>
      <c r="M202" s="838"/>
      <c r="N202" s="838"/>
      <c r="O202" s="838"/>
      <c r="P202" s="838"/>
      <c r="Q202" s="838"/>
      <c r="R202" s="838"/>
      <c r="S202" s="838"/>
      <c r="T202" s="838"/>
      <c r="U202" s="838"/>
      <c r="V202" s="838"/>
      <c r="W202" s="838"/>
      <c r="X202" s="838"/>
      <c r="Y202" s="838"/>
      <c r="Z202" s="838"/>
      <c r="AA202" s="838"/>
      <c r="AB202" s="838"/>
      <c r="AC202" s="838"/>
      <c r="AD202" s="838"/>
      <c r="AE202" s="838"/>
      <c r="AF202" s="838"/>
      <c r="AG202" s="838"/>
      <c r="AH202" s="778"/>
    </row>
    <row r="203" spans="1:34" ht="11.1" customHeight="1">
      <c r="A203" s="511"/>
      <c r="B203" s="511"/>
      <c r="C203" s="511"/>
      <c r="D203" s="511"/>
      <c r="E203" s="511"/>
      <c r="F203" s="511"/>
      <c r="G203" s="511"/>
      <c r="H203" s="511"/>
      <c r="I203" s="511"/>
      <c r="J203" s="511"/>
      <c r="K203" s="511"/>
      <c r="L203" s="511"/>
      <c r="M203" s="511"/>
      <c r="N203" s="511"/>
      <c r="O203" s="511"/>
      <c r="P203" s="511"/>
      <c r="Q203" s="511"/>
      <c r="R203" s="511"/>
      <c r="S203" s="511"/>
      <c r="T203" s="511"/>
      <c r="U203" s="511"/>
      <c r="V203" s="511"/>
      <c r="W203" s="511"/>
      <c r="X203" s="511"/>
      <c r="Y203" s="511"/>
      <c r="Z203" s="511"/>
      <c r="AA203" s="511"/>
      <c r="AB203" s="511"/>
      <c r="AC203" s="511"/>
      <c r="AD203" s="511"/>
      <c r="AE203" s="511"/>
      <c r="AF203" s="511"/>
      <c r="AG203" s="511"/>
    </row>
    <row r="204" spans="1:34" ht="11.85" customHeight="1">
      <c r="A204" s="590" t="s">
        <v>2942</v>
      </c>
    </row>
    <row r="205" spans="1:34" ht="11.85" customHeight="1">
      <c r="A205" s="779" t="s">
        <v>2943</v>
      </c>
      <c r="B205" s="779"/>
      <c r="C205" s="779"/>
      <c r="D205" s="779"/>
      <c r="E205" s="779"/>
      <c r="F205" s="779"/>
      <c r="G205" s="779"/>
      <c r="H205" s="779"/>
      <c r="I205" s="779"/>
      <c r="J205" s="779"/>
      <c r="K205" s="779"/>
      <c r="L205" s="779"/>
      <c r="M205" s="779"/>
      <c r="N205" s="779"/>
      <c r="O205" s="779"/>
      <c r="P205" s="779"/>
      <c r="Q205" s="779"/>
      <c r="R205" s="779"/>
      <c r="S205" s="779"/>
      <c r="T205" s="779"/>
      <c r="U205" s="779"/>
      <c r="V205" s="779"/>
    </row>
    <row r="206" spans="1:34" ht="22.9" customHeight="1">
      <c r="A206" s="1172" t="s">
        <v>2944</v>
      </c>
      <c r="B206" s="1172"/>
      <c r="C206" s="1172"/>
      <c r="D206" s="1172"/>
      <c r="E206" s="1172"/>
      <c r="F206" s="1172"/>
      <c r="G206" s="1172"/>
      <c r="H206" s="1172"/>
      <c r="I206" s="1172"/>
      <c r="J206" s="1172"/>
      <c r="K206" s="1172"/>
      <c r="L206" s="1172"/>
      <c r="M206" s="1172"/>
      <c r="N206" s="1172"/>
      <c r="O206" s="1172"/>
      <c r="P206" s="1172"/>
      <c r="Q206" s="1172"/>
      <c r="R206" s="1172"/>
      <c r="S206" s="1172"/>
      <c r="T206" s="1172"/>
      <c r="U206" s="1172"/>
      <c r="V206" s="1172"/>
      <c r="W206" s="1172"/>
      <c r="X206" s="1172"/>
      <c r="Y206" s="1172"/>
      <c r="Z206" s="1172"/>
    </row>
    <row r="207" spans="1:34" ht="11.85" customHeight="1">
      <c r="A207" s="779" t="s">
        <v>2945</v>
      </c>
      <c r="B207" s="779"/>
      <c r="C207" s="779"/>
      <c r="D207" s="779"/>
      <c r="E207" s="779"/>
      <c r="F207" s="779"/>
      <c r="G207" s="779"/>
      <c r="H207" s="779"/>
      <c r="I207" s="779"/>
      <c r="J207" s="779"/>
      <c r="K207" s="779"/>
      <c r="L207" s="779"/>
      <c r="M207" s="779"/>
      <c r="N207" s="779"/>
      <c r="O207" s="779"/>
      <c r="P207" s="779"/>
      <c r="Q207" s="779"/>
      <c r="R207" s="779"/>
      <c r="S207" s="779"/>
      <c r="T207" s="779"/>
      <c r="U207" s="779"/>
      <c r="V207" s="779"/>
    </row>
    <row r="208" spans="1:34" ht="5.85" customHeight="1"/>
    <row r="209" spans="1:33" ht="11.85" customHeight="1"/>
    <row r="210" spans="1:33" ht="17.100000000000001" customHeight="1"/>
    <row r="211" spans="1:33" ht="11.85" customHeight="1"/>
    <row r="212" spans="1:33" ht="63.6" customHeight="1"/>
    <row r="213" spans="1:33" ht="64.349999999999994" customHeight="1"/>
    <row r="214" spans="1:33" ht="11.85" customHeight="1">
      <c r="A214" s="779" t="s">
        <v>2640</v>
      </c>
      <c r="B214" s="779"/>
      <c r="C214" s="779"/>
      <c r="D214" s="779"/>
      <c r="E214" s="779"/>
      <c r="F214" s="779"/>
      <c r="G214" s="779"/>
      <c r="H214" s="779"/>
      <c r="I214" s="779"/>
      <c r="J214" s="779"/>
      <c r="K214" s="779"/>
      <c r="L214" s="779"/>
      <c r="M214" s="779"/>
      <c r="N214" s="779"/>
      <c r="O214" s="779"/>
      <c r="P214" s="779"/>
      <c r="Q214" s="779"/>
      <c r="R214" s="779"/>
      <c r="S214" s="779"/>
      <c r="T214" s="779"/>
      <c r="U214" s="779"/>
      <c r="V214" s="779"/>
      <c r="W214" s="779"/>
      <c r="X214" s="779"/>
      <c r="Y214" s="779"/>
      <c r="Z214" s="779"/>
      <c r="AA214" s="779"/>
      <c r="AB214" s="779"/>
      <c r="AC214" s="779"/>
      <c r="AD214" s="779"/>
      <c r="AE214" s="779"/>
      <c r="AF214" s="779"/>
      <c r="AG214" s="779"/>
    </row>
    <row r="215" spans="1:33" ht="5.85" customHeight="1"/>
  </sheetData>
  <mergeCells count="937">
    <mergeCell ref="H198:L199"/>
    <mergeCell ref="M198:O199"/>
    <mergeCell ref="P198:S199"/>
    <mergeCell ref="T198:X199"/>
    <mergeCell ref="AC198:AF199"/>
    <mergeCell ref="AG198:AH199"/>
    <mergeCell ref="A207:V207"/>
    <mergeCell ref="A214:AG214"/>
    <mergeCell ref="AC200:AF201"/>
    <mergeCell ref="AG200:AH201"/>
    <mergeCell ref="Y201:AB201"/>
    <mergeCell ref="A202:AH202"/>
    <mergeCell ref="A205:V205"/>
    <mergeCell ref="A206:Z206"/>
    <mergeCell ref="Y199:AB200"/>
    <mergeCell ref="A200:E201"/>
    <mergeCell ref="F200:G201"/>
    <mergeCell ref="H200:L201"/>
    <mergeCell ref="M200:O201"/>
    <mergeCell ref="P200:S201"/>
    <mergeCell ref="T200:X201"/>
    <mergeCell ref="T192:X193"/>
    <mergeCell ref="AC192:AF193"/>
    <mergeCell ref="AG192:AH193"/>
    <mergeCell ref="AC194:AF195"/>
    <mergeCell ref="AG194:AH195"/>
    <mergeCell ref="Y195:AB196"/>
    <mergeCell ref="A196:E197"/>
    <mergeCell ref="F196:G197"/>
    <mergeCell ref="H196:L197"/>
    <mergeCell ref="M196:O197"/>
    <mergeCell ref="P196:S197"/>
    <mergeCell ref="T196:X197"/>
    <mergeCell ref="AC196:AF197"/>
    <mergeCell ref="Y193:AB194"/>
    <mergeCell ref="A194:E195"/>
    <mergeCell ref="F194:G195"/>
    <mergeCell ref="H194:L195"/>
    <mergeCell ref="M194:O195"/>
    <mergeCell ref="P194:S195"/>
    <mergeCell ref="T194:X195"/>
    <mergeCell ref="AG196:AH197"/>
    <mergeCell ref="Y197:AB198"/>
    <mergeCell ref="A198:E199"/>
    <mergeCell ref="F198:G199"/>
    <mergeCell ref="AC188:AF189"/>
    <mergeCell ref="AG188:AH189"/>
    <mergeCell ref="Y189:AB190"/>
    <mergeCell ref="A190:E191"/>
    <mergeCell ref="F190:G191"/>
    <mergeCell ref="H190:L191"/>
    <mergeCell ref="M190:O191"/>
    <mergeCell ref="P190:S191"/>
    <mergeCell ref="T190:X191"/>
    <mergeCell ref="AC190:AF191"/>
    <mergeCell ref="Y187:AB188"/>
    <mergeCell ref="A188:E189"/>
    <mergeCell ref="F188:G189"/>
    <mergeCell ref="H188:L189"/>
    <mergeCell ref="M188:O189"/>
    <mergeCell ref="P188:S189"/>
    <mergeCell ref="T188:X189"/>
    <mergeCell ref="AG190:AH191"/>
    <mergeCell ref="Y191:AB192"/>
    <mergeCell ref="A192:E193"/>
    <mergeCell ref="F192:G193"/>
    <mergeCell ref="H192:L193"/>
    <mergeCell ref="M192:O193"/>
    <mergeCell ref="P192:S193"/>
    <mergeCell ref="AG184:AH185"/>
    <mergeCell ref="Y185:AB186"/>
    <mergeCell ref="A186:E187"/>
    <mergeCell ref="F186:G187"/>
    <mergeCell ref="H186:L187"/>
    <mergeCell ref="M186:O187"/>
    <mergeCell ref="P186:S187"/>
    <mergeCell ref="T186:X187"/>
    <mergeCell ref="AC186:AF187"/>
    <mergeCell ref="AG186:AH187"/>
    <mergeCell ref="AC182:AF183"/>
    <mergeCell ref="AG182:AH183"/>
    <mergeCell ref="Y183:AB184"/>
    <mergeCell ref="A184:E185"/>
    <mergeCell ref="F184:G185"/>
    <mergeCell ref="H184:L185"/>
    <mergeCell ref="M184:O185"/>
    <mergeCell ref="P184:S185"/>
    <mergeCell ref="T184:X185"/>
    <mergeCell ref="AC184:AF185"/>
    <mergeCell ref="Y181:AB182"/>
    <mergeCell ref="A182:E183"/>
    <mergeCell ref="F182:G183"/>
    <mergeCell ref="H182:L183"/>
    <mergeCell ref="M182:O183"/>
    <mergeCell ref="P182:S183"/>
    <mergeCell ref="T182:X183"/>
    <mergeCell ref="H179:L181"/>
    <mergeCell ref="M179:S179"/>
    <mergeCell ref="T179:AB179"/>
    <mergeCell ref="AC179:AH179"/>
    <mergeCell ref="M180:O181"/>
    <mergeCell ref="P180:S181"/>
    <mergeCell ref="T180:X181"/>
    <mergeCell ref="Y180:AB180"/>
    <mergeCell ref="AC180:AF181"/>
    <mergeCell ref="AG180:AH181"/>
    <mergeCell ref="A174:G174"/>
    <mergeCell ref="A175:G175"/>
    <mergeCell ref="A176:G176"/>
    <mergeCell ref="A178:G178"/>
    <mergeCell ref="A179:E181"/>
    <mergeCell ref="F179:G181"/>
    <mergeCell ref="AC167:AF167"/>
    <mergeCell ref="AG167:AH167"/>
    <mergeCell ref="A168:AH168"/>
    <mergeCell ref="A170:AG170"/>
    <mergeCell ref="A172:G172"/>
    <mergeCell ref="A173:G173"/>
    <mergeCell ref="Y166:AB166"/>
    <mergeCell ref="AC166:AF166"/>
    <mergeCell ref="AG166:AH166"/>
    <mergeCell ref="A167:E167"/>
    <mergeCell ref="F167:G167"/>
    <mergeCell ref="H167:L167"/>
    <mergeCell ref="M167:O167"/>
    <mergeCell ref="P167:S167"/>
    <mergeCell ref="T167:X167"/>
    <mergeCell ref="Y167:AB167"/>
    <mergeCell ref="A166:E166"/>
    <mergeCell ref="F166:G166"/>
    <mergeCell ref="H166:L166"/>
    <mergeCell ref="M166:O166"/>
    <mergeCell ref="P166:S166"/>
    <mergeCell ref="T166:X166"/>
    <mergeCell ref="A165:E165"/>
    <mergeCell ref="F165:G165"/>
    <mergeCell ref="H165:L165"/>
    <mergeCell ref="M165:O165"/>
    <mergeCell ref="P165:S165"/>
    <mergeCell ref="T165:X165"/>
    <mergeCell ref="Y165:AB165"/>
    <mergeCell ref="AC165:AF165"/>
    <mergeCell ref="AG165:AH165"/>
    <mergeCell ref="A164:E164"/>
    <mergeCell ref="F164:G164"/>
    <mergeCell ref="H164:L164"/>
    <mergeCell ref="M164:O164"/>
    <mergeCell ref="P164:S164"/>
    <mergeCell ref="T164:X164"/>
    <mergeCell ref="Y164:AB164"/>
    <mergeCell ref="AC164:AF164"/>
    <mergeCell ref="AG164:AH164"/>
    <mergeCell ref="Y162:AB162"/>
    <mergeCell ref="AC162:AF162"/>
    <mergeCell ref="AG162:AH162"/>
    <mergeCell ref="A163:E163"/>
    <mergeCell ref="F163:G163"/>
    <mergeCell ref="H163:L163"/>
    <mergeCell ref="M163:O163"/>
    <mergeCell ref="P163:S163"/>
    <mergeCell ref="T163:X163"/>
    <mergeCell ref="Y163:AB163"/>
    <mergeCell ref="A162:E162"/>
    <mergeCell ref="F162:G162"/>
    <mergeCell ref="H162:L162"/>
    <mergeCell ref="M162:O162"/>
    <mergeCell ref="P162:S162"/>
    <mergeCell ref="T162:X162"/>
    <mergeCell ref="AC163:AF163"/>
    <mergeCell ref="AG163:AH163"/>
    <mergeCell ref="A161:E161"/>
    <mergeCell ref="F161:G161"/>
    <mergeCell ref="H161:L161"/>
    <mergeCell ref="M161:O161"/>
    <mergeCell ref="P161:S161"/>
    <mergeCell ref="T161:X161"/>
    <mergeCell ref="Y161:AB161"/>
    <mergeCell ref="AC161:AF161"/>
    <mergeCell ref="AG161:AH161"/>
    <mergeCell ref="A160:E160"/>
    <mergeCell ref="F160:G160"/>
    <mergeCell ref="H160:L160"/>
    <mergeCell ref="M160:O160"/>
    <mergeCell ref="P160:S160"/>
    <mergeCell ref="T160:X160"/>
    <mergeCell ref="Y160:AB160"/>
    <mergeCell ref="AC160:AF160"/>
    <mergeCell ref="AG160:AH160"/>
    <mergeCell ref="Y158:AB158"/>
    <mergeCell ref="AC158:AF158"/>
    <mergeCell ref="AG158:AH158"/>
    <mergeCell ref="A159:E159"/>
    <mergeCell ref="F159:G159"/>
    <mergeCell ref="H159:L159"/>
    <mergeCell ref="M159:O159"/>
    <mergeCell ref="P159:S159"/>
    <mergeCell ref="T159:X159"/>
    <mergeCell ref="Y159:AB159"/>
    <mergeCell ref="A158:E158"/>
    <mergeCell ref="F158:G158"/>
    <mergeCell ref="H158:L158"/>
    <mergeCell ref="M158:O158"/>
    <mergeCell ref="P158:S158"/>
    <mergeCell ref="T158:X158"/>
    <mergeCell ref="AC159:AF159"/>
    <mergeCell ref="AG159:AH159"/>
    <mergeCell ref="A157:E157"/>
    <mergeCell ref="F157:G157"/>
    <mergeCell ref="H157:L157"/>
    <mergeCell ref="M157:O157"/>
    <mergeCell ref="P157:S157"/>
    <mergeCell ref="T157:X157"/>
    <mergeCell ref="Y157:AB157"/>
    <mergeCell ref="AC157:AF157"/>
    <mergeCell ref="AG157:AH157"/>
    <mergeCell ref="A156:E156"/>
    <mergeCell ref="F156:G156"/>
    <mergeCell ref="H156:L156"/>
    <mergeCell ref="M156:O156"/>
    <mergeCell ref="P156:S156"/>
    <mergeCell ref="T156:X156"/>
    <mergeCell ref="Y156:AB156"/>
    <mergeCell ref="AC156:AF156"/>
    <mergeCell ref="AG156:AH156"/>
    <mergeCell ref="Y154:AB154"/>
    <mergeCell ref="AC154:AF154"/>
    <mergeCell ref="AG154:AH154"/>
    <mergeCell ref="A155:E155"/>
    <mergeCell ref="F155:G155"/>
    <mergeCell ref="H155:L155"/>
    <mergeCell ref="M155:O155"/>
    <mergeCell ref="P155:S155"/>
    <mergeCell ref="T155:X155"/>
    <mergeCell ref="Y155:AB155"/>
    <mergeCell ref="A154:E154"/>
    <mergeCell ref="F154:G154"/>
    <mergeCell ref="H154:L154"/>
    <mergeCell ref="M154:O154"/>
    <mergeCell ref="P154:S154"/>
    <mergeCell ref="T154:X154"/>
    <mergeCell ref="AC155:AF155"/>
    <mergeCell ref="AG155:AH155"/>
    <mergeCell ref="A153:E153"/>
    <mergeCell ref="F153:G153"/>
    <mergeCell ref="H153:L153"/>
    <mergeCell ref="M153:O153"/>
    <mergeCell ref="P153:S153"/>
    <mergeCell ref="T153:X153"/>
    <mergeCell ref="Y153:AB153"/>
    <mergeCell ref="AC153:AF153"/>
    <mergeCell ref="AG153:AH153"/>
    <mergeCell ref="A152:E152"/>
    <mergeCell ref="F152:G152"/>
    <mergeCell ref="H152:L152"/>
    <mergeCell ref="M152:O152"/>
    <mergeCell ref="P152:S152"/>
    <mergeCell ref="T152:X152"/>
    <mergeCell ref="Y152:AB152"/>
    <mergeCell ref="AC152:AF152"/>
    <mergeCell ref="AG152:AH152"/>
    <mergeCell ref="Y150:AB150"/>
    <mergeCell ref="AC150:AF150"/>
    <mergeCell ref="AG150:AH150"/>
    <mergeCell ref="A151:E151"/>
    <mergeCell ref="F151:G151"/>
    <mergeCell ref="H151:L151"/>
    <mergeCell ref="M151:O151"/>
    <mergeCell ref="P151:S151"/>
    <mergeCell ref="T151:X151"/>
    <mergeCell ref="Y151:AB151"/>
    <mergeCell ref="A150:E150"/>
    <mergeCell ref="F150:G150"/>
    <mergeCell ref="H150:L150"/>
    <mergeCell ref="M150:O150"/>
    <mergeCell ref="P150:S150"/>
    <mergeCell ref="T150:X150"/>
    <mergeCell ref="AC151:AF151"/>
    <mergeCell ref="AG151:AH151"/>
    <mergeCell ref="A149:E149"/>
    <mergeCell ref="F149:G149"/>
    <mergeCell ref="H149:L149"/>
    <mergeCell ref="M149:O149"/>
    <mergeCell ref="P149:S149"/>
    <mergeCell ref="T149:X149"/>
    <mergeCell ref="Y149:AB149"/>
    <mergeCell ref="AC149:AF149"/>
    <mergeCell ref="AG149:AH149"/>
    <mergeCell ref="A148:E148"/>
    <mergeCell ref="F148:G148"/>
    <mergeCell ref="H148:L148"/>
    <mergeCell ref="M148:O148"/>
    <mergeCell ref="P148:S148"/>
    <mergeCell ref="T148:X148"/>
    <mergeCell ref="Y148:AB148"/>
    <mergeCell ref="AC148:AF148"/>
    <mergeCell ref="AG148:AH148"/>
    <mergeCell ref="A147:E147"/>
    <mergeCell ref="F147:G147"/>
    <mergeCell ref="H147:L147"/>
    <mergeCell ref="M147:O147"/>
    <mergeCell ref="P147:S147"/>
    <mergeCell ref="T147:X147"/>
    <mergeCell ref="Y147:AB147"/>
    <mergeCell ref="AC147:AF147"/>
    <mergeCell ref="AG147:AH147"/>
    <mergeCell ref="A146:E146"/>
    <mergeCell ref="F146:G146"/>
    <mergeCell ref="H146:L146"/>
    <mergeCell ref="M146:O146"/>
    <mergeCell ref="P146:S146"/>
    <mergeCell ref="T146:X146"/>
    <mergeCell ref="Y146:AB146"/>
    <mergeCell ref="AC146:AF146"/>
    <mergeCell ref="AG146:AH146"/>
    <mergeCell ref="A142:G142"/>
    <mergeCell ref="A143:AH143"/>
    <mergeCell ref="A144:E145"/>
    <mergeCell ref="F144:G145"/>
    <mergeCell ref="H144:L145"/>
    <mergeCell ref="M144:S144"/>
    <mergeCell ref="T144:AB144"/>
    <mergeCell ref="AC144:AH144"/>
    <mergeCell ref="M145:O145"/>
    <mergeCell ref="P145:S145"/>
    <mergeCell ref="T145:X145"/>
    <mergeCell ref="Y145:AB145"/>
    <mergeCell ref="AC145:AF145"/>
    <mergeCell ref="AG145:AH145"/>
    <mergeCell ref="A134:AG134"/>
    <mergeCell ref="A136:G136"/>
    <mergeCell ref="A137:G137"/>
    <mergeCell ref="A138:G138"/>
    <mergeCell ref="A139:G139"/>
    <mergeCell ref="A140:G140"/>
    <mergeCell ref="A131:I131"/>
    <mergeCell ref="J131:P131"/>
    <mergeCell ref="Q131:W131"/>
    <mergeCell ref="X131:AD131"/>
    <mergeCell ref="AE131:AH131"/>
    <mergeCell ref="A132:AH132"/>
    <mergeCell ref="A129:I129"/>
    <mergeCell ref="J129:P129"/>
    <mergeCell ref="Q129:W129"/>
    <mergeCell ref="X129:AD129"/>
    <mergeCell ref="AE129:AH129"/>
    <mergeCell ref="A130:I130"/>
    <mergeCell ref="J130:P130"/>
    <mergeCell ref="Q130:W130"/>
    <mergeCell ref="X130:AD130"/>
    <mergeCell ref="AE130:AH130"/>
    <mergeCell ref="A127:I127"/>
    <mergeCell ref="J127:P127"/>
    <mergeCell ref="Q127:W127"/>
    <mergeCell ref="X127:AD127"/>
    <mergeCell ref="AE127:AH127"/>
    <mergeCell ref="A128:I128"/>
    <mergeCell ref="J128:P128"/>
    <mergeCell ref="Q128:W128"/>
    <mergeCell ref="X128:AD128"/>
    <mergeCell ref="AE128:AH128"/>
    <mergeCell ref="A125:I125"/>
    <mergeCell ref="J125:P125"/>
    <mergeCell ref="Q125:W125"/>
    <mergeCell ref="X125:AD125"/>
    <mergeCell ref="AE125:AH125"/>
    <mergeCell ref="A126:I126"/>
    <mergeCell ref="J126:P126"/>
    <mergeCell ref="Q126:W126"/>
    <mergeCell ref="X126:AD126"/>
    <mergeCell ref="AE126:AH126"/>
    <mergeCell ref="A122:AH122"/>
    <mergeCell ref="A123:I124"/>
    <mergeCell ref="J123:P124"/>
    <mergeCell ref="Q123:W124"/>
    <mergeCell ref="X123:AH123"/>
    <mergeCell ref="X124:AD124"/>
    <mergeCell ref="AE124:AH124"/>
    <mergeCell ref="A121:J121"/>
    <mergeCell ref="K121:R121"/>
    <mergeCell ref="S121:U121"/>
    <mergeCell ref="V121:Y121"/>
    <mergeCell ref="Z121:AC121"/>
    <mergeCell ref="AD121:AH121"/>
    <mergeCell ref="A120:J120"/>
    <mergeCell ref="K120:R120"/>
    <mergeCell ref="S120:U120"/>
    <mergeCell ref="V120:Y120"/>
    <mergeCell ref="Z120:AC120"/>
    <mergeCell ref="AD120:AH120"/>
    <mergeCell ref="AD118:AH118"/>
    <mergeCell ref="A119:J119"/>
    <mergeCell ref="K119:R119"/>
    <mergeCell ref="S119:U119"/>
    <mergeCell ref="V119:Y119"/>
    <mergeCell ref="Z119:AC119"/>
    <mergeCell ref="AD119:AH119"/>
    <mergeCell ref="Z117:AC117"/>
    <mergeCell ref="A118:J118"/>
    <mergeCell ref="K118:R118"/>
    <mergeCell ref="S118:U118"/>
    <mergeCell ref="V118:Y118"/>
    <mergeCell ref="Z118:AC118"/>
    <mergeCell ref="A113:AE113"/>
    <mergeCell ref="AF113:AH113"/>
    <mergeCell ref="A114:AH114"/>
    <mergeCell ref="A115:J117"/>
    <mergeCell ref="K115:AH115"/>
    <mergeCell ref="K116:R117"/>
    <mergeCell ref="S116:AC116"/>
    <mergeCell ref="AD116:AH117"/>
    <mergeCell ref="S117:U117"/>
    <mergeCell ref="V117:Y117"/>
    <mergeCell ref="AF109:AH109"/>
    <mergeCell ref="A110:AH110"/>
    <mergeCell ref="A111:AE111"/>
    <mergeCell ref="AF111:AH111"/>
    <mergeCell ref="A112:AE112"/>
    <mergeCell ref="AF112:AH112"/>
    <mergeCell ref="AB108:AE108"/>
    <mergeCell ref="AF108:AH108"/>
    <mergeCell ref="A109:B109"/>
    <mergeCell ref="E109:F109"/>
    <mergeCell ref="G109:H109"/>
    <mergeCell ref="I109:M109"/>
    <mergeCell ref="N109:Q109"/>
    <mergeCell ref="R109:U109"/>
    <mergeCell ref="V109:AA109"/>
    <mergeCell ref="AB109:AE109"/>
    <mergeCell ref="V107:AA107"/>
    <mergeCell ref="AB107:AE107"/>
    <mergeCell ref="AF107:AH107"/>
    <mergeCell ref="A108:B108"/>
    <mergeCell ref="E108:F108"/>
    <mergeCell ref="G108:H108"/>
    <mergeCell ref="I108:M108"/>
    <mergeCell ref="N108:Q108"/>
    <mergeCell ref="R108:U108"/>
    <mergeCell ref="V108:AA108"/>
    <mergeCell ref="A107:B107"/>
    <mergeCell ref="E107:F107"/>
    <mergeCell ref="G107:H107"/>
    <mergeCell ref="I107:M107"/>
    <mergeCell ref="N107:Q107"/>
    <mergeCell ref="R107:U107"/>
    <mergeCell ref="A106:B106"/>
    <mergeCell ref="E106:F106"/>
    <mergeCell ref="G106:H106"/>
    <mergeCell ref="I106:M106"/>
    <mergeCell ref="N106:Q106"/>
    <mergeCell ref="R106:U106"/>
    <mergeCell ref="V106:AA106"/>
    <mergeCell ref="AB106:AE106"/>
    <mergeCell ref="AF106:AH106"/>
    <mergeCell ref="A105:B105"/>
    <mergeCell ref="E105:F105"/>
    <mergeCell ref="G105:H105"/>
    <mergeCell ref="I105:M105"/>
    <mergeCell ref="N105:Q105"/>
    <mergeCell ref="R105:U105"/>
    <mergeCell ref="V105:AA105"/>
    <mergeCell ref="AB105:AE105"/>
    <mergeCell ref="AF105:AH105"/>
    <mergeCell ref="V103:AA103"/>
    <mergeCell ref="AB103:AE103"/>
    <mergeCell ref="AF103:AH103"/>
    <mergeCell ref="A104:B104"/>
    <mergeCell ref="E104:F104"/>
    <mergeCell ref="G104:H104"/>
    <mergeCell ref="I104:M104"/>
    <mergeCell ref="N104:Q104"/>
    <mergeCell ref="R104:U104"/>
    <mergeCell ref="V104:AA104"/>
    <mergeCell ref="A103:B103"/>
    <mergeCell ref="E103:F103"/>
    <mergeCell ref="G103:H103"/>
    <mergeCell ref="I103:M103"/>
    <mergeCell ref="N103:Q103"/>
    <mergeCell ref="R103:U103"/>
    <mergeCell ref="AB104:AE104"/>
    <mergeCell ref="AF104:AH104"/>
    <mergeCell ref="A102:B102"/>
    <mergeCell ref="E102:F102"/>
    <mergeCell ref="G102:H102"/>
    <mergeCell ref="I102:M102"/>
    <mergeCell ref="N102:Q102"/>
    <mergeCell ref="R102:U102"/>
    <mergeCell ref="V102:AA102"/>
    <mergeCell ref="AB102:AE102"/>
    <mergeCell ref="AF102:AH102"/>
    <mergeCell ref="A101:B101"/>
    <mergeCell ref="E101:F101"/>
    <mergeCell ref="G101:H101"/>
    <mergeCell ref="I101:M101"/>
    <mergeCell ref="N101:Q101"/>
    <mergeCell ref="R101:U101"/>
    <mergeCell ref="V101:AA101"/>
    <mergeCell ref="AB101:AE101"/>
    <mergeCell ref="AF101:AH101"/>
    <mergeCell ref="A96:G96"/>
    <mergeCell ref="A98:G98"/>
    <mergeCell ref="A99:AH99"/>
    <mergeCell ref="A100:B100"/>
    <mergeCell ref="E100:F100"/>
    <mergeCell ref="G100:H100"/>
    <mergeCell ref="I100:M100"/>
    <mergeCell ref="N100:Q100"/>
    <mergeCell ref="R100:U100"/>
    <mergeCell ref="V100:AA100"/>
    <mergeCell ref="AB100:AE100"/>
    <mergeCell ref="AF100:AH100"/>
    <mergeCell ref="A88:AH88"/>
    <mergeCell ref="A90:AG90"/>
    <mergeCell ref="A92:G92"/>
    <mergeCell ref="A93:G93"/>
    <mergeCell ref="A94:G94"/>
    <mergeCell ref="A95:G95"/>
    <mergeCell ref="A87:K87"/>
    <mergeCell ref="L87:R87"/>
    <mergeCell ref="S87:U87"/>
    <mergeCell ref="V87:Y87"/>
    <mergeCell ref="Z87:AC87"/>
    <mergeCell ref="AD87:AH87"/>
    <mergeCell ref="A86:K86"/>
    <mergeCell ref="L86:R86"/>
    <mergeCell ref="S86:U86"/>
    <mergeCell ref="V86:Y86"/>
    <mergeCell ref="Z86:AC86"/>
    <mergeCell ref="AD86:AH86"/>
    <mergeCell ref="A85:K85"/>
    <mergeCell ref="L85:R85"/>
    <mergeCell ref="S85:U85"/>
    <mergeCell ref="V85:Y85"/>
    <mergeCell ref="Z85:AC85"/>
    <mergeCell ref="AD85:AH85"/>
    <mergeCell ref="A84:K84"/>
    <mergeCell ref="L84:R84"/>
    <mergeCell ref="S84:U84"/>
    <mergeCell ref="V84:Y84"/>
    <mergeCell ref="Z84:AC84"/>
    <mergeCell ref="AD84:AH84"/>
    <mergeCell ref="A80:AH80"/>
    <mergeCell ref="A81:K83"/>
    <mergeCell ref="L81:AH81"/>
    <mergeCell ref="L82:R83"/>
    <mergeCell ref="S82:AC82"/>
    <mergeCell ref="AD82:AH83"/>
    <mergeCell ref="S83:U83"/>
    <mergeCell ref="V83:Y83"/>
    <mergeCell ref="Z83:AC83"/>
    <mergeCell ref="A78:N78"/>
    <mergeCell ref="O78:T78"/>
    <mergeCell ref="U78:AC78"/>
    <mergeCell ref="AD78:AH78"/>
    <mergeCell ref="A79:N79"/>
    <mergeCell ref="O79:T79"/>
    <mergeCell ref="U79:AC79"/>
    <mergeCell ref="AD79:AH79"/>
    <mergeCell ref="A76:N76"/>
    <mergeCell ref="O76:AH76"/>
    <mergeCell ref="A77:N77"/>
    <mergeCell ref="O77:T77"/>
    <mergeCell ref="U77:AC77"/>
    <mergeCell ref="AD77:AH77"/>
    <mergeCell ref="A74:N74"/>
    <mergeCell ref="O74:T74"/>
    <mergeCell ref="U74:AC74"/>
    <mergeCell ref="AD74:AH74"/>
    <mergeCell ref="A75:N75"/>
    <mergeCell ref="O75:AH75"/>
    <mergeCell ref="A72:N72"/>
    <mergeCell ref="O72:T72"/>
    <mergeCell ref="U72:AC72"/>
    <mergeCell ref="AD72:AH72"/>
    <mergeCell ref="A73:N73"/>
    <mergeCell ref="O73:T73"/>
    <mergeCell ref="U73:AC73"/>
    <mergeCell ref="AD73:AH73"/>
    <mergeCell ref="A70:N70"/>
    <mergeCell ref="O70:T70"/>
    <mergeCell ref="U70:AC70"/>
    <mergeCell ref="AD70:AH70"/>
    <mergeCell ref="A71:N71"/>
    <mergeCell ref="O71:T71"/>
    <mergeCell ref="U71:AC71"/>
    <mergeCell ref="AD71:AH71"/>
    <mergeCell ref="AC67:AF67"/>
    <mergeCell ref="AG67:AH67"/>
    <mergeCell ref="A68:AH68"/>
    <mergeCell ref="A69:N69"/>
    <mergeCell ref="O69:T69"/>
    <mergeCell ref="U69:AC69"/>
    <mergeCell ref="AD69:AH69"/>
    <mergeCell ref="Y66:AB66"/>
    <mergeCell ref="AC66:AF66"/>
    <mergeCell ref="AG66:AH66"/>
    <mergeCell ref="A67:E67"/>
    <mergeCell ref="F67:G67"/>
    <mergeCell ref="H67:L67"/>
    <mergeCell ref="M67:O67"/>
    <mergeCell ref="P67:S67"/>
    <mergeCell ref="T67:X67"/>
    <mergeCell ref="Y67:AB67"/>
    <mergeCell ref="A66:E66"/>
    <mergeCell ref="F66:G66"/>
    <mergeCell ref="H66:L66"/>
    <mergeCell ref="M66:O66"/>
    <mergeCell ref="P66:S66"/>
    <mergeCell ref="T66:X66"/>
    <mergeCell ref="A65:E65"/>
    <mergeCell ref="F65:G65"/>
    <mergeCell ref="H65:L65"/>
    <mergeCell ref="M65:O65"/>
    <mergeCell ref="P65:S65"/>
    <mergeCell ref="T65:X65"/>
    <mergeCell ref="Y65:AB65"/>
    <mergeCell ref="AC65:AF65"/>
    <mergeCell ref="AG65:AH65"/>
    <mergeCell ref="A64:E64"/>
    <mergeCell ref="F64:G64"/>
    <mergeCell ref="H64:L64"/>
    <mergeCell ref="M64:O64"/>
    <mergeCell ref="P64:S64"/>
    <mergeCell ref="T64:X64"/>
    <mergeCell ref="Y64:AB64"/>
    <mergeCell ref="AC64:AF64"/>
    <mergeCell ref="AG64:AH64"/>
    <mergeCell ref="Y62:AB62"/>
    <mergeCell ref="AC62:AF62"/>
    <mergeCell ref="AG62:AH62"/>
    <mergeCell ref="A63:E63"/>
    <mergeCell ref="F63:G63"/>
    <mergeCell ref="H63:L63"/>
    <mergeCell ref="M63:O63"/>
    <mergeCell ref="P63:S63"/>
    <mergeCell ref="T63:X63"/>
    <mergeCell ref="Y63:AB63"/>
    <mergeCell ref="A62:E62"/>
    <mergeCell ref="F62:G62"/>
    <mergeCell ref="H62:L62"/>
    <mergeCell ref="M62:O62"/>
    <mergeCell ref="P62:S62"/>
    <mergeCell ref="T62:X62"/>
    <mergeCell ref="AC63:AF63"/>
    <mergeCell ref="AG63:AH63"/>
    <mergeCell ref="A61:E61"/>
    <mergeCell ref="F61:G61"/>
    <mergeCell ref="H61:L61"/>
    <mergeCell ref="M61:O61"/>
    <mergeCell ref="P61:S61"/>
    <mergeCell ref="T61:X61"/>
    <mergeCell ref="Y61:AB61"/>
    <mergeCell ref="AC61:AF61"/>
    <mergeCell ref="AG61:AH61"/>
    <mergeCell ref="A60:E60"/>
    <mergeCell ref="F60:G60"/>
    <mergeCell ref="H60:L60"/>
    <mergeCell ref="M60:O60"/>
    <mergeCell ref="P60:S60"/>
    <mergeCell ref="T60:X60"/>
    <mergeCell ref="Y60:AB60"/>
    <mergeCell ref="AC60:AF60"/>
    <mergeCell ref="AG60:AH60"/>
    <mergeCell ref="Y58:AB58"/>
    <mergeCell ref="AC58:AF58"/>
    <mergeCell ref="AG58:AH58"/>
    <mergeCell ref="A59:E59"/>
    <mergeCell ref="F59:G59"/>
    <mergeCell ref="H59:L59"/>
    <mergeCell ref="M59:O59"/>
    <mergeCell ref="P59:S59"/>
    <mergeCell ref="T59:X59"/>
    <mergeCell ref="Y59:AB59"/>
    <mergeCell ref="A58:E58"/>
    <mergeCell ref="F58:G58"/>
    <mergeCell ref="H58:L58"/>
    <mergeCell ref="M58:O58"/>
    <mergeCell ref="P58:S58"/>
    <mergeCell ref="T58:X58"/>
    <mergeCell ref="AC59:AF59"/>
    <mergeCell ref="AG59:AH59"/>
    <mergeCell ref="A52:G52"/>
    <mergeCell ref="A53:G53"/>
    <mergeCell ref="A55:G55"/>
    <mergeCell ref="A56:E57"/>
    <mergeCell ref="F56:G57"/>
    <mergeCell ref="H56:L57"/>
    <mergeCell ref="AC45:AF45"/>
    <mergeCell ref="AG45:AH45"/>
    <mergeCell ref="A47:AG47"/>
    <mergeCell ref="A49:G49"/>
    <mergeCell ref="A50:G50"/>
    <mergeCell ref="A51:G51"/>
    <mergeCell ref="M56:S56"/>
    <mergeCell ref="T56:AB56"/>
    <mergeCell ref="AC56:AH56"/>
    <mergeCell ref="M57:O57"/>
    <mergeCell ref="P57:S57"/>
    <mergeCell ref="T57:X57"/>
    <mergeCell ref="Y57:AB57"/>
    <mergeCell ref="AC57:AF57"/>
    <mergeCell ref="AG57:AH57"/>
    <mergeCell ref="Y44:AB44"/>
    <mergeCell ref="AC44:AF44"/>
    <mergeCell ref="AG44:AH44"/>
    <mergeCell ref="A45:E45"/>
    <mergeCell ref="F45:G45"/>
    <mergeCell ref="H45:L45"/>
    <mergeCell ref="M45:O45"/>
    <mergeCell ref="P45:S45"/>
    <mergeCell ref="T45:X45"/>
    <mergeCell ref="Y45:AB45"/>
    <mergeCell ref="A44:E44"/>
    <mergeCell ref="F44:G44"/>
    <mergeCell ref="H44:L44"/>
    <mergeCell ref="M44:O44"/>
    <mergeCell ref="P44:S44"/>
    <mergeCell ref="T44:X44"/>
    <mergeCell ref="A43:E43"/>
    <mergeCell ref="F43:G43"/>
    <mergeCell ref="H43:L43"/>
    <mergeCell ref="M43:O43"/>
    <mergeCell ref="P43:S43"/>
    <mergeCell ref="T43:X43"/>
    <mergeCell ref="Y43:AB43"/>
    <mergeCell ref="AC43:AF43"/>
    <mergeCell ref="AG43:AH43"/>
    <mergeCell ref="A42:E42"/>
    <mergeCell ref="F42:G42"/>
    <mergeCell ref="H42:L42"/>
    <mergeCell ref="M42:O42"/>
    <mergeCell ref="P42:S42"/>
    <mergeCell ref="T42:X42"/>
    <mergeCell ref="Y42:AB42"/>
    <mergeCell ref="AC42:AF42"/>
    <mergeCell ref="AG42:AH42"/>
    <mergeCell ref="Y40:AB40"/>
    <mergeCell ref="AC40:AF40"/>
    <mergeCell ref="AG40:AH40"/>
    <mergeCell ref="A41:E41"/>
    <mergeCell ref="F41:G41"/>
    <mergeCell ref="H41:L41"/>
    <mergeCell ref="M41:O41"/>
    <mergeCell ref="P41:S41"/>
    <mergeCell ref="T41:X41"/>
    <mergeCell ref="Y41:AB41"/>
    <mergeCell ref="A40:E40"/>
    <mergeCell ref="F40:G40"/>
    <mergeCell ref="H40:L40"/>
    <mergeCell ref="M40:O40"/>
    <mergeCell ref="P40:S40"/>
    <mergeCell ref="T40:X40"/>
    <mergeCell ref="AC41:AF41"/>
    <mergeCell ref="AG41:AH41"/>
    <mergeCell ref="A39:E39"/>
    <mergeCell ref="F39:G39"/>
    <mergeCell ref="H39:L39"/>
    <mergeCell ref="M39:O39"/>
    <mergeCell ref="P39:S39"/>
    <mergeCell ref="T39:X39"/>
    <mergeCell ref="Y39:AB39"/>
    <mergeCell ref="AC39:AF39"/>
    <mergeCell ref="AG39:AH39"/>
    <mergeCell ref="A38:E38"/>
    <mergeCell ref="F38:G38"/>
    <mergeCell ref="H38:L38"/>
    <mergeCell ref="M38:O38"/>
    <mergeCell ref="P38:S38"/>
    <mergeCell ref="T38:X38"/>
    <mergeCell ref="Y38:AB38"/>
    <mergeCell ref="AC38:AF38"/>
    <mergeCell ref="AG38:AH38"/>
    <mergeCell ref="Y36:AB36"/>
    <mergeCell ref="AC36:AF36"/>
    <mergeCell ref="AG36:AH36"/>
    <mergeCell ref="A37:E37"/>
    <mergeCell ref="F37:G37"/>
    <mergeCell ref="H37:L37"/>
    <mergeCell ref="M37:O37"/>
    <mergeCell ref="P37:S37"/>
    <mergeCell ref="T37:X37"/>
    <mergeCell ref="Y37:AB37"/>
    <mergeCell ref="A36:E36"/>
    <mergeCell ref="F36:G36"/>
    <mergeCell ref="H36:L36"/>
    <mergeCell ref="M36:O36"/>
    <mergeCell ref="P36:S36"/>
    <mergeCell ref="T36:X36"/>
    <mergeCell ref="AC37:AF37"/>
    <mergeCell ref="AG37:AH37"/>
    <mergeCell ref="A35:E35"/>
    <mergeCell ref="F35:G35"/>
    <mergeCell ref="H35:L35"/>
    <mergeCell ref="M35:O35"/>
    <mergeCell ref="P35:S35"/>
    <mergeCell ref="T35:X35"/>
    <mergeCell ref="Y35:AB35"/>
    <mergeCell ref="AC35:AF35"/>
    <mergeCell ref="AG35:AH35"/>
    <mergeCell ref="AC33:AF33"/>
    <mergeCell ref="AG33:AH33"/>
    <mergeCell ref="A34:E34"/>
    <mergeCell ref="F34:G34"/>
    <mergeCell ref="H34:L34"/>
    <mergeCell ref="M34:O34"/>
    <mergeCell ref="P34:S34"/>
    <mergeCell ref="T34:X34"/>
    <mergeCell ref="Y34:AB34"/>
    <mergeCell ref="AC34:AF34"/>
    <mergeCell ref="A32:E33"/>
    <mergeCell ref="F32:G33"/>
    <mergeCell ref="H32:L33"/>
    <mergeCell ref="M32:S32"/>
    <mergeCell ref="T32:AB32"/>
    <mergeCell ref="AC32:AH32"/>
    <mergeCell ref="M33:O33"/>
    <mergeCell ref="P33:S33"/>
    <mergeCell ref="T33:X33"/>
    <mergeCell ref="Y33:AB33"/>
    <mergeCell ref="AG34:AH34"/>
    <mergeCell ref="A30:I30"/>
    <mergeCell ref="J30:P30"/>
    <mergeCell ref="Q30:W30"/>
    <mergeCell ref="X30:AD30"/>
    <mergeCell ref="AE30:AH30"/>
    <mergeCell ref="A31:AH31"/>
    <mergeCell ref="A28:I28"/>
    <mergeCell ref="J28:P28"/>
    <mergeCell ref="Q28:W28"/>
    <mergeCell ref="X28:AD28"/>
    <mergeCell ref="AE28:AH28"/>
    <mergeCell ref="A29:I29"/>
    <mergeCell ref="J29:P29"/>
    <mergeCell ref="Q29:W29"/>
    <mergeCell ref="X29:AD29"/>
    <mergeCell ref="AE29:AH29"/>
    <mergeCell ref="A26:I26"/>
    <mergeCell ref="J26:P26"/>
    <mergeCell ref="Q26:W26"/>
    <mergeCell ref="X26:AD26"/>
    <mergeCell ref="AE26:AH26"/>
    <mergeCell ref="A27:I27"/>
    <mergeCell ref="J27:P27"/>
    <mergeCell ref="Q27:W27"/>
    <mergeCell ref="X27:AD27"/>
    <mergeCell ref="AE27:AH27"/>
    <mergeCell ref="A24:I24"/>
    <mergeCell ref="J24:P24"/>
    <mergeCell ref="Q24:W24"/>
    <mergeCell ref="X24:AD24"/>
    <mergeCell ref="AE24:AH24"/>
    <mergeCell ref="A25:I25"/>
    <mergeCell ref="J25:P25"/>
    <mergeCell ref="Q25:W25"/>
    <mergeCell ref="X25:AD25"/>
    <mergeCell ref="AE25:AH25"/>
    <mergeCell ref="A22:I22"/>
    <mergeCell ref="J22:P22"/>
    <mergeCell ref="Q22:W22"/>
    <mergeCell ref="X22:AD22"/>
    <mergeCell ref="AE22:AH22"/>
    <mergeCell ref="A23:I23"/>
    <mergeCell ref="J23:P23"/>
    <mergeCell ref="Q23:W23"/>
    <mergeCell ref="X23:AD23"/>
    <mergeCell ref="AE23:AH23"/>
    <mergeCell ref="A20:I20"/>
    <mergeCell ref="J20:P20"/>
    <mergeCell ref="Q20:W20"/>
    <mergeCell ref="X20:AD20"/>
    <mergeCell ref="AE20:AH20"/>
    <mergeCell ref="A21:I21"/>
    <mergeCell ref="J21:P21"/>
    <mergeCell ref="Q21:W21"/>
    <mergeCell ref="X21:AD21"/>
    <mergeCell ref="AE21:AH21"/>
    <mergeCell ref="A18:I18"/>
    <mergeCell ref="J18:P18"/>
    <mergeCell ref="Q18:W18"/>
    <mergeCell ref="X18:AD18"/>
    <mergeCell ref="AE18:AH18"/>
    <mergeCell ref="A19:I19"/>
    <mergeCell ref="J19:P19"/>
    <mergeCell ref="Q19:W19"/>
    <mergeCell ref="X19:AD19"/>
    <mergeCell ref="AE19:AH19"/>
    <mergeCell ref="A16:I16"/>
    <mergeCell ref="J16:P16"/>
    <mergeCell ref="Q16:W16"/>
    <mergeCell ref="X16:AD16"/>
    <mergeCell ref="AE16:AH16"/>
    <mergeCell ref="A17:I17"/>
    <mergeCell ref="J17:P17"/>
    <mergeCell ref="Q17:W17"/>
    <mergeCell ref="X17:AD17"/>
    <mergeCell ref="AE17:AH17"/>
    <mergeCell ref="A14:I14"/>
    <mergeCell ref="J14:P14"/>
    <mergeCell ref="Q14:W14"/>
    <mergeCell ref="X14:AD14"/>
    <mergeCell ref="AE14:AH14"/>
    <mergeCell ref="A15:I15"/>
    <mergeCell ref="J15:P15"/>
    <mergeCell ref="Q15:W15"/>
    <mergeCell ref="X15:AD15"/>
    <mergeCell ref="AE15:AH15"/>
    <mergeCell ref="A12:I12"/>
    <mergeCell ref="J12:P12"/>
    <mergeCell ref="Q12:W12"/>
    <mergeCell ref="X12:AD12"/>
    <mergeCell ref="AE12:AH12"/>
    <mergeCell ref="A13:I13"/>
    <mergeCell ref="J13:P13"/>
    <mergeCell ref="Q13:W13"/>
    <mergeCell ref="X13:AD13"/>
    <mergeCell ref="AE13:AH13"/>
    <mergeCell ref="A10:I10"/>
    <mergeCell ref="J10:P10"/>
    <mergeCell ref="Q10:W10"/>
    <mergeCell ref="X10:AD10"/>
    <mergeCell ref="AE10:AH10"/>
    <mergeCell ref="A11:I11"/>
    <mergeCell ref="J11:P11"/>
    <mergeCell ref="Q11:W11"/>
    <mergeCell ref="X11:AD11"/>
    <mergeCell ref="AE11:AH11"/>
    <mergeCell ref="A8:I9"/>
    <mergeCell ref="J8:P9"/>
    <mergeCell ref="Q8:W9"/>
    <mergeCell ref="X8:AH8"/>
    <mergeCell ref="X9:AD9"/>
    <mergeCell ref="AE9:AH9"/>
    <mergeCell ref="A1:G1"/>
    <mergeCell ref="A2:G2"/>
    <mergeCell ref="A3:G3"/>
    <mergeCell ref="A4:G4"/>
    <mergeCell ref="A5:G5"/>
    <mergeCell ref="A7:G7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2:E41"/>
  <sheetViews>
    <sheetView workbookViewId="0">
      <selection activeCell="E17" sqref="E17"/>
    </sheetView>
  </sheetViews>
  <sheetFormatPr defaultRowHeight="15"/>
  <cols>
    <col min="1" max="2" width="1.7109375" customWidth="1"/>
    <col min="3" max="3" width="50.7109375" customWidth="1"/>
    <col min="4" max="5" width="14.7109375" customWidth="1"/>
  </cols>
  <sheetData>
    <row r="2" spans="1:5">
      <c r="A2" s="1178" t="s">
        <v>2946</v>
      </c>
      <c r="B2" s="1178"/>
      <c r="C2" s="1178"/>
      <c r="D2" s="1178"/>
      <c r="E2" s="1178"/>
    </row>
    <row r="3" spans="1:5">
      <c r="A3" s="1178" t="s">
        <v>2947</v>
      </c>
      <c r="B3" s="1178"/>
      <c r="C3" s="1178"/>
      <c r="D3" s="1178"/>
      <c r="E3" s="1178"/>
    </row>
    <row r="4" spans="1:5">
      <c r="A4" s="1196" t="s">
        <v>2948</v>
      </c>
      <c r="B4" s="1196"/>
      <c r="C4" s="1196"/>
      <c r="D4" s="1196"/>
      <c r="E4" s="1196"/>
    </row>
    <row r="5" spans="1:5">
      <c r="A5" s="1178" t="s">
        <v>2476</v>
      </c>
      <c r="B5" s="1178"/>
      <c r="C5" s="1178"/>
      <c r="D5" s="1178"/>
      <c r="E5" s="1178"/>
    </row>
    <row r="6" spans="1:5">
      <c r="A6" s="1178" t="s">
        <v>2949</v>
      </c>
      <c r="B6" s="1178"/>
      <c r="C6" s="1178"/>
      <c r="D6" s="1178"/>
      <c r="E6" s="1178"/>
    </row>
    <row r="8" spans="1:5">
      <c r="A8" s="1178" t="s">
        <v>2950</v>
      </c>
      <c r="B8" s="1178"/>
      <c r="C8" s="1178"/>
      <c r="E8" s="591" t="s">
        <v>1312</v>
      </c>
    </row>
    <row r="9" spans="1:5">
      <c r="A9" s="1181" t="s">
        <v>2951</v>
      </c>
      <c r="B9" s="1179"/>
      <c r="C9" s="1179"/>
      <c r="D9" s="1179" t="s">
        <v>2952</v>
      </c>
      <c r="E9" s="1180"/>
    </row>
    <row r="10" spans="1:5">
      <c r="A10" s="1182"/>
      <c r="B10" s="1183"/>
      <c r="C10" s="1183"/>
      <c r="D10" s="1173" t="s">
        <v>2953</v>
      </c>
      <c r="E10" s="1174"/>
    </row>
    <row r="11" spans="1:5" ht="45">
      <c r="A11" s="1182"/>
      <c r="B11" s="1183"/>
      <c r="C11" s="1183"/>
      <c r="D11" s="592" t="s">
        <v>2508</v>
      </c>
      <c r="E11" s="593" t="s">
        <v>2954</v>
      </c>
    </row>
    <row r="12" spans="1:5">
      <c r="A12" s="1175"/>
      <c r="B12" s="1176"/>
      <c r="C12" s="1177"/>
      <c r="D12" s="594" t="s">
        <v>922</v>
      </c>
      <c r="E12" s="595" t="s">
        <v>923</v>
      </c>
    </row>
    <row r="13" spans="1:5">
      <c r="A13" s="1186" t="s">
        <v>2955</v>
      </c>
      <c r="B13" s="1186"/>
      <c r="C13" s="1184"/>
      <c r="D13" s="596">
        <v>94006215.140000001</v>
      </c>
      <c r="E13" s="597">
        <v>0</v>
      </c>
    </row>
    <row r="14" spans="1:5">
      <c r="B14" s="1178" t="s">
        <v>2956</v>
      </c>
      <c r="C14" s="1197"/>
      <c r="D14" s="598">
        <v>69156125.280000001</v>
      </c>
      <c r="E14" s="599">
        <v>0</v>
      </c>
    </row>
    <row r="15" spans="1:5">
      <c r="C15" s="600" t="s">
        <v>2957</v>
      </c>
      <c r="D15" s="598">
        <v>46745466.509999998</v>
      </c>
      <c r="E15" s="599">
        <v>0</v>
      </c>
    </row>
    <row r="16" spans="1:5">
      <c r="C16" s="600" t="s">
        <v>2958</v>
      </c>
      <c r="D16" s="598">
        <v>22410658.77</v>
      </c>
      <c r="E16" s="599">
        <v>0</v>
      </c>
    </row>
    <row r="17" spans="1:5">
      <c r="B17" s="1178" t="s">
        <v>2959</v>
      </c>
      <c r="C17" s="1197"/>
      <c r="D17" s="598">
        <v>23868503.550000001</v>
      </c>
      <c r="E17" s="599">
        <v>0</v>
      </c>
    </row>
    <row r="18" spans="1:5">
      <c r="C18" s="600" t="s">
        <v>2960</v>
      </c>
      <c r="D18" s="598">
        <v>21122405.620000001</v>
      </c>
      <c r="E18" s="599">
        <v>0</v>
      </c>
    </row>
    <row r="19" spans="1:5">
      <c r="C19" s="600" t="s">
        <v>1980</v>
      </c>
      <c r="D19" s="598">
        <v>2746097.93</v>
      </c>
      <c r="E19" s="599">
        <v>0</v>
      </c>
    </row>
    <row r="20" spans="1:5" ht="30" customHeight="1">
      <c r="B20" s="1198" t="s">
        <v>2961</v>
      </c>
      <c r="C20" s="1199"/>
      <c r="D20" s="598">
        <v>981586.31</v>
      </c>
      <c r="E20" s="599">
        <v>0</v>
      </c>
    </row>
    <row r="21" spans="1:5" ht="30" customHeight="1">
      <c r="B21" s="1178" t="s">
        <v>2962</v>
      </c>
      <c r="C21" s="1197"/>
      <c r="D21" s="598">
        <v>0</v>
      </c>
      <c r="E21" s="599">
        <v>0</v>
      </c>
    </row>
    <row r="22" spans="1:5">
      <c r="A22" s="1178" t="s">
        <v>2963</v>
      </c>
      <c r="B22" s="1178"/>
      <c r="C22" s="1197"/>
      <c r="D22" s="598">
        <v>26209398.18</v>
      </c>
      <c r="E22" s="599">
        <v>0</v>
      </c>
    </row>
    <row r="23" spans="1:5">
      <c r="B23" s="1178" t="s">
        <v>2964</v>
      </c>
      <c r="C23" s="1197"/>
      <c r="D23" s="598">
        <v>2247274.84</v>
      </c>
      <c r="E23" s="599">
        <v>0</v>
      </c>
    </row>
    <row r="24" spans="1:5">
      <c r="B24" s="1178" t="s">
        <v>2965</v>
      </c>
      <c r="C24" s="1197"/>
      <c r="D24" s="598">
        <v>21286.49</v>
      </c>
      <c r="E24" s="599">
        <v>0</v>
      </c>
    </row>
    <row r="25" spans="1:5">
      <c r="B25" s="1178" t="s">
        <v>2966</v>
      </c>
      <c r="C25" s="1197"/>
      <c r="D25" s="598">
        <v>0</v>
      </c>
      <c r="E25" s="599">
        <v>0</v>
      </c>
    </row>
    <row r="26" spans="1:5">
      <c r="B26" s="1178" t="s">
        <v>2967</v>
      </c>
      <c r="C26" s="1197"/>
      <c r="D26" s="598">
        <v>23940836.850000001</v>
      </c>
      <c r="E26" s="599">
        <v>0</v>
      </c>
    </row>
    <row r="27" spans="1:5">
      <c r="A27" s="1184" t="s">
        <v>2968</v>
      </c>
      <c r="B27" s="1185"/>
      <c r="C27" s="1185"/>
      <c r="D27" s="596">
        <v>67796816.959999993</v>
      </c>
      <c r="E27" s="597">
        <v>0</v>
      </c>
    </row>
    <row r="28" spans="1:5">
      <c r="A28" s="1187"/>
      <c r="B28" s="1187"/>
      <c r="C28" s="1187"/>
      <c r="D28" s="1187"/>
      <c r="E28" s="1187"/>
    </row>
    <row r="29" spans="1:5">
      <c r="A29" s="1188" t="s">
        <v>2969</v>
      </c>
      <c r="B29" s="1188"/>
      <c r="C29" s="1189"/>
      <c r="D29" s="601" t="s">
        <v>1917</v>
      </c>
      <c r="E29" s="602" t="s">
        <v>2970</v>
      </c>
    </row>
    <row r="30" spans="1:5">
      <c r="A30" s="1186" t="s">
        <v>2971</v>
      </c>
      <c r="B30" s="1186"/>
      <c r="C30" s="1184"/>
      <c r="D30" s="596">
        <v>114238590.06</v>
      </c>
      <c r="E30" s="597">
        <v>0</v>
      </c>
    </row>
    <row r="31" spans="1:5">
      <c r="A31" s="1186" t="s">
        <v>2972</v>
      </c>
      <c r="B31" s="1186"/>
      <c r="C31" s="1184"/>
      <c r="D31" s="596">
        <v>0</v>
      </c>
      <c r="E31" s="597">
        <v>0</v>
      </c>
    </row>
    <row r="32" spans="1:5">
      <c r="A32" s="1186" t="s">
        <v>2973</v>
      </c>
      <c r="B32" s="1186"/>
      <c r="C32" s="1184"/>
      <c r="D32" s="596">
        <v>350000</v>
      </c>
      <c r="E32" s="597">
        <v>0</v>
      </c>
    </row>
    <row r="33" spans="1:5" ht="24.95" customHeight="1">
      <c r="A33" s="1190" t="s">
        <v>2974</v>
      </c>
      <c r="B33" s="1190"/>
      <c r="C33" s="1191"/>
      <c r="D33" s="596">
        <v>113888590.06</v>
      </c>
      <c r="E33" s="597">
        <v>0</v>
      </c>
    </row>
    <row r="34" spans="1:5">
      <c r="A34" s="1192" t="s">
        <v>2975</v>
      </c>
      <c r="B34" s="1193"/>
      <c r="C34" s="1193"/>
      <c r="D34" s="603">
        <v>67796816.959999993</v>
      </c>
      <c r="E34" s="604">
        <v>59.53</v>
      </c>
    </row>
    <row r="35" spans="1:5">
      <c r="A35" s="1184" t="s">
        <v>2976</v>
      </c>
      <c r="B35" s="1185"/>
      <c r="C35" s="1185"/>
      <c r="D35" s="596">
        <v>61499838.630000003</v>
      </c>
      <c r="E35" s="597">
        <v>54</v>
      </c>
    </row>
    <row r="36" spans="1:5">
      <c r="A36" s="1184" t="s">
        <v>2977</v>
      </c>
      <c r="B36" s="1185"/>
      <c r="C36" s="1185"/>
      <c r="D36" s="596">
        <v>58424846.700000003</v>
      </c>
      <c r="E36" s="597">
        <v>51.3</v>
      </c>
    </row>
    <row r="37" spans="1:5">
      <c r="A37" s="1194" t="s">
        <v>2978</v>
      </c>
      <c r="B37" s="1195"/>
      <c r="C37" s="1195"/>
      <c r="D37" s="605">
        <v>55349854.770000003</v>
      </c>
      <c r="E37" s="606">
        <v>48.6</v>
      </c>
    </row>
    <row r="38" spans="1:5">
      <c r="A38" s="1186" t="s">
        <v>2979</v>
      </c>
      <c r="B38" s="1186"/>
      <c r="C38" s="1186"/>
      <c r="D38" s="1186"/>
      <c r="E38" s="1186"/>
    </row>
    <row r="39" spans="1:5">
      <c r="A39" s="1178" t="s">
        <v>2980</v>
      </c>
      <c r="B39" s="1178"/>
      <c r="C39" s="1178"/>
      <c r="D39" s="1178"/>
      <c r="E39" s="1178"/>
    </row>
    <row r="40" spans="1:5">
      <c r="A40" s="1178" t="s">
        <v>2981</v>
      </c>
      <c r="B40" s="1178"/>
      <c r="C40" s="1178"/>
      <c r="D40" s="1178"/>
      <c r="E40" s="1178"/>
    </row>
    <row r="41" spans="1:5">
      <c r="A41" s="1178" t="s">
        <v>2982</v>
      </c>
      <c r="B41" s="1178"/>
      <c r="C41" s="1178"/>
      <c r="D41" s="1178"/>
      <c r="E41" s="1178"/>
    </row>
  </sheetData>
  <mergeCells count="36">
    <mergeCell ref="B17:C17"/>
    <mergeCell ref="A13:C13"/>
    <mergeCell ref="B26:C26"/>
    <mergeCell ref="D28:E28"/>
    <mergeCell ref="A30:C30"/>
    <mergeCell ref="A27:C27"/>
    <mergeCell ref="B23:C23"/>
    <mergeCell ref="B24:C24"/>
    <mergeCell ref="B25:C25"/>
    <mergeCell ref="B20:C20"/>
    <mergeCell ref="A22:C22"/>
    <mergeCell ref="B21:C21"/>
    <mergeCell ref="B14:C14"/>
    <mergeCell ref="A2:E2"/>
    <mergeCell ref="A3:E3"/>
    <mergeCell ref="A4:E4"/>
    <mergeCell ref="A5:E5"/>
    <mergeCell ref="A6:E6"/>
    <mergeCell ref="A41:E41"/>
    <mergeCell ref="A38:E38"/>
    <mergeCell ref="A39:E39"/>
    <mergeCell ref="A40:E40"/>
    <mergeCell ref="A37:C37"/>
    <mergeCell ref="A36:C36"/>
    <mergeCell ref="A32:C32"/>
    <mergeCell ref="A28:C28"/>
    <mergeCell ref="A29:C29"/>
    <mergeCell ref="A31:C31"/>
    <mergeCell ref="A35:C35"/>
    <mergeCell ref="A33:C33"/>
    <mergeCell ref="A34:C34"/>
    <mergeCell ref="D10:E10"/>
    <mergeCell ref="A12:C12"/>
    <mergeCell ref="A8:C8"/>
    <mergeCell ref="D9:E9"/>
    <mergeCell ref="A9:C11"/>
  </mergeCells>
  <pageMargins left="0.511811024" right="0.511811024" top="0.78740157499999996" bottom="0.78740157499999996" header="0.31496062000000002" footer="0.31496062000000002"/>
</worksheet>
</file>

<file path=xl/worksheets/sheet25.xml><?xml version="1.0" encoding="utf-8"?>
<worksheet xmlns="http://schemas.openxmlformats.org/spreadsheetml/2006/main" xmlns:r="http://schemas.openxmlformats.org/officeDocument/2006/relationships">
  <dimension ref="A2:H63"/>
  <sheetViews>
    <sheetView workbookViewId="0">
      <selection activeCell="A38" sqref="A38:D38"/>
    </sheetView>
  </sheetViews>
  <sheetFormatPr defaultRowHeight="15"/>
  <cols>
    <col min="1" max="3" width="1.7109375" customWidth="1"/>
    <col min="4" max="4" width="40.7109375" customWidth="1"/>
    <col min="5" max="7" width="12.5703125" bestFit="1" customWidth="1"/>
    <col min="8" max="8" width="10.42578125" bestFit="1" customWidth="1"/>
  </cols>
  <sheetData>
    <row r="2" spans="1:8">
      <c r="A2" s="698" t="s">
        <v>2499</v>
      </c>
      <c r="B2" s="698"/>
      <c r="C2" s="698"/>
      <c r="D2" s="698"/>
      <c r="E2" s="698"/>
      <c r="F2" s="698"/>
      <c r="G2" s="698"/>
      <c r="H2" s="698"/>
    </row>
    <row r="3" spans="1:8">
      <c r="A3" s="698" t="s">
        <v>2947</v>
      </c>
      <c r="B3" s="698"/>
      <c r="C3" s="698"/>
      <c r="D3" s="698"/>
      <c r="E3" s="698"/>
      <c r="F3" s="698"/>
      <c r="G3" s="698"/>
      <c r="H3" s="698"/>
    </row>
    <row r="4" spans="1:8">
      <c r="A4" s="699" t="s">
        <v>2983</v>
      </c>
      <c r="B4" s="699"/>
      <c r="C4" s="699"/>
      <c r="D4" s="699"/>
      <c r="E4" s="699"/>
      <c r="F4" s="699"/>
      <c r="G4" s="699"/>
      <c r="H4" s="699"/>
    </row>
    <row r="5" spans="1:8">
      <c r="A5" s="698" t="s">
        <v>2476</v>
      </c>
      <c r="B5" s="698"/>
      <c r="C5" s="698"/>
      <c r="D5" s="698"/>
      <c r="E5" s="698"/>
      <c r="F5" s="698"/>
      <c r="G5" s="698"/>
      <c r="H5" s="698"/>
    </row>
    <row r="6" spans="1:8">
      <c r="A6" s="698" t="s">
        <v>2984</v>
      </c>
      <c r="B6" s="698"/>
      <c r="C6" s="698"/>
      <c r="D6" s="698"/>
      <c r="E6" s="698"/>
      <c r="F6" s="698"/>
      <c r="G6" s="698"/>
      <c r="H6" s="698"/>
    </row>
    <row r="8" spans="1:8">
      <c r="A8" s="681" t="s">
        <v>2985</v>
      </c>
      <c r="B8" s="681"/>
      <c r="C8" s="681"/>
      <c r="D8" s="681"/>
      <c r="H8" s="549" t="s">
        <v>1312</v>
      </c>
    </row>
    <row r="9" spans="1:8" ht="2.1" customHeight="1" thickBot="1"/>
    <row r="10" spans="1:8" ht="15.75" thickBot="1">
      <c r="A10" s="1017" t="s">
        <v>2986</v>
      </c>
      <c r="B10" s="1018"/>
      <c r="C10" s="1018"/>
      <c r="D10" s="1018"/>
      <c r="E10" s="464" t="s">
        <v>2987</v>
      </c>
      <c r="F10" s="675" t="s">
        <v>2988</v>
      </c>
      <c r="G10" s="1204"/>
      <c r="H10" s="1205"/>
    </row>
    <row r="11" spans="1:8">
      <c r="A11" s="1025"/>
      <c r="B11" s="1021"/>
      <c r="C11" s="1021"/>
      <c r="D11" s="1021"/>
      <c r="E11" s="470" t="s">
        <v>2989</v>
      </c>
      <c r="F11" s="470" t="s">
        <v>2990</v>
      </c>
      <c r="G11" s="470" t="s">
        <v>2991</v>
      </c>
      <c r="H11" s="471" t="s">
        <v>2992</v>
      </c>
    </row>
    <row r="12" spans="1:8" ht="15.75" thickBot="1">
      <c r="A12" s="1019"/>
      <c r="B12" s="1020"/>
      <c r="C12" s="1020"/>
      <c r="D12" s="1021"/>
      <c r="E12" s="470" t="s">
        <v>2993</v>
      </c>
      <c r="F12" s="470" t="s">
        <v>2994</v>
      </c>
      <c r="G12" s="470" t="s">
        <v>2994</v>
      </c>
      <c r="H12" s="471" t="s">
        <v>2994</v>
      </c>
    </row>
    <row r="13" spans="1:8">
      <c r="A13" s="1206" t="s">
        <v>2995</v>
      </c>
      <c r="B13" s="1206"/>
      <c r="C13" s="1206"/>
      <c r="D13" s="1207"/>
      <c r="E13" s="607" t="s">
        <v>2149</v>
      </c>
      <c r="F13" s="607" t="s">
        <v>2996</v>
      </c>
      <c r="G13" s="607" t="s">
        <v>2997</v>
      </c>
      <c r="H13" s="608" t="s">
        <v>539</v>
      </c>
    </row>
    <row r="14" spans="1:8">
      <c r="B14" s="1202" t="s">
        <v>2998</v>
      </c>
      <c r="C14" s="1202"/>
      <c r="D14" s="1203"/>
      <c r="E14" s="609" t="s">
        <v>539</v>
      </c>
      <c r="F14" s="609" t="s">
        <v>539</v>
      </c>
      <c r="G14" s="609" t="s">
        <v>539</v>
      </c>
      <c r="H14" s="610" t="s">
        <v>539</v>
      </c>
    </row>
    <row r="15" spans="1:8">
      <c r="B15" s="1202" t="s">
        <v>2999</v>
      </c>
      <c r="C15" s="1202"/>
      <c r="D15" s="1203"/>
      <c r="E15" s="609" t="s">
        <v>3000</v>
      </c>
      <c r="F15" s="609" t="s">
        <v>3001</v>
      </c>
      <c r="G15" s="609" t="s">
        <v>3002</v>
      </c>
      <c r="H15" s="610" t="s">
        <v>539</v>
      </c>
    </row>
    <row r="16" spans="1:8">
      <c r="C16" s="1202" t="s">
        <v>3003</v>
      </c>
      <c r="D16" s="1203"/>
      <c r="E16" s="609" t="s">
        <v>539</v>
      </c>
      <c r="F16" s="609" t="s">
        <v>539</v>
      </c>
      <c r="G16" s="609" t="s">
        <v>539</v>
      </c>
      <c r="H16" s="610" t="s">
        <v>539</v>
      </c>
    </row>
    <row r="17" spans="1:8">
      <c r="D17" s="611" t="s">
        <v>3004</v>
      </c>
      <c r="E17" s="609" t="s">
        <v>539</v>
      </c>
      <c r="F17" s="609" t="s">
        <v>539</v>
      </c>
      <c r="G17" s="609" t="s">
        <v>539</v>
      </c>
      <c r="H17" s="610" t="s">
        <v>539</v>
      </c>
    </row>
    <row r="18" spans="1:8">
      <c r="D18" s="611" t="s">
        <v>3005</v>
      </c>
      <c r="E18" s="609" t="s">
        <v>539</v>
      </c>
      <c r="F18" s="609" t="s">
        <v>539</v>
      </c>
      <c r="G18" s="609" t="s">
        <v>539</v>
      </c>
      <c r="H18" s="610" t="s">
        <v>539</v>
      </c>
    </row>
    <row r="19" spans="1:8">
      <c r="C19" s="1202" t="s">
        <v>3006</v>
      </c>
      <c r="D19" s="1203"/>
      <c r="E19" s="609" t="s">
        <v>539</v>
      </c>
      <c r="F19" s="609" t="s">
        <v>539</v>
      </c>
      <c r="G19" s="609" t="s">
        <v>539</v>
      </c>
      <c r="H19" s="610" t="s">
        <v>539</v>
      </c>
    </row>
    <row r="20" spans="1:8">
      <c r="C20" s="1202" t="s">
        <v>3007</v>
      </c>
      <c r="D20" s="1203"/>
      <c r="E20" s="609" t="s">
        <v>3008</v>
      </c>
      <c r="F20" s="609" t="s">
        <v>3009</v>
      </c>
      <c r="G20" s="609" t="s">
        <v>3010</v>
      </c>
      <c r="H20" s="610" t="s">
        <v>539</v>
      </c>
    </row>
    <row r="21" spans="1:8">
      <c r="D21" s="611" t="s">
        <v>3004</v>
      </c>
      <c r="E21" s="609" t="s">
        <v>3008</v>
      </c>
      <c r="F21" s="609" t="s">
        <v>3009</v>
      </c>
      <c r="G21" s="609" t="s">
        <v>3010</v>
      </c>
      <c r="H21" s="610" t="s">
        <v>539</v>
      </c>
    </row>
    <row r="22" spans="1:8">
      <c r="D22" s="611" t="s">
        <v>3005</v>
      </c>
      <c r="E22" s="609" t="s">
        <v>539</v>
      </c>
      <c r="F22" s="609" t="s">
        <v>539</v>
      </c>
      <c r="G22" s="609" t="s">
        <v>539</v>
      </c>
      <c r="H22" s="610" t="s">
        <v>539</v>
      </c>
    </row>
    <row r="23" spans="1:8">
      <c r="C23" s="1202" t="s">
        <v>3011</v>
      </c>
      <c r="D23" s="1203"/>
      <c r="E23" s="609" t="s">
        <v>3012</v>
      </c>
      <c r="F23" s="609" t="s">
        <v>3013</v>
      </c>
      <c r="G23" s="609" t="s">
        <v>3014</v>
      </c>
      <c r="H23" s="610" t="s">
        <v>539</v>
      </c>
    </row>
    <row r="24" spans="1:8">
      <c r="D24" s="611" t="s">
        <v>3015</v>
      </c>
      <c r="E24" s="609" t="s">
        <v>539</v>
      </c>
      <c r="F24" s="609" t="s">
        <v>539</v>
      </c>
      <c r="G24" s="609" t="s">
        <v>539</v>
      </c>
      <c r="H24" s="610" t="s">
        <v>539</v>
      </c>
    </row>
    <row r="25" spans="1:8">
      <c r="D25" s="611" t="s">
        <v>3016</v>
      </c>
      <c r="E25" s="609" t="s">
        <v>3017</v>
      </c>
      <c r="F25" s="609" t="s">
        <v>3018</v>
      </c>
      <c r="G25" s="609" t="s">
        <v>3019</v>
      </c>
      <c r="H25" s="610" t="s">
        <v>539</v>
      </c>
    </row>
    <row r="26" spans="1:8">
      <c r="D26" s="611" t="s">
        <v>3020</v>
      </c>
      <c r="E26" s="609" t="s">
        <v>539</v>
      </c>
      <c r="F26" s="609" t="s">
        <v>539</v>
      </c>
      <c r="G26" s="609" t="s">
        <v>539</v>
      </c>
      <c r="H26" s="610" t="s">
        <v>539</v>
      </c>
    </row>
    <row r="27" spans="1:8">
      <c r="D27" s="611" t="s">
        <v>3021</v>
      </c>
      <c r="E27" s="609" t="s">
        <v>539</v>
      </c>
      <c r="F27" s="609" t="s">
        <v>539</v>
      </c>
      <c r="G27" s="609" t="s">
        <v>539</v>
      </c>
      <c r="H27" s="610" t="s">
        <v>539</v>
      </c>
    </row>
    <row r="28" spans="1:8">
      <c r="D28" s="611" t="s">
        <v>3022</v>
      </c>
      <c r="E28" s="609" t="s">
        <v>3023</v>
      </c>
      <c r="F28" s="609" t="s">
        <v>3024</v>
      </c>
      <c r="G28" s="609" t="s">
        <v>3024</v>
      </c>
      <c r="H28" s="610" t="s">
        <v>539</v>
      </c>
    </row>
    <row r="29" spans="1:8">
      <c r="C29" s="1202" t="s">
        <v>3025</v>
      </c>
      <c r="D29" s="1203"/>
      <c r="E29" s="609" t="s">
        <v>3026</v>
      </c>
      <c r="F29" s="609" t="s">
        <v>3027</v>
      </c>
      <c r="G29" s="609" t="s">
        <v>3028</v>
      </c>
      <c r="H29" s="610" t="s">
        <v>539</v>
      </c>
    </row>
    <row r="30" spans="1:8">
      <c r="B30" s="1202" t="s">
        <v>3029</v>
      </c>
      <c r="C30" s="1202"/>
      <c r="D30" s="1203"/>
      <c r="E30" s="609" t="s">
        <v>3030</v>
      </c>
      <c r="F30" s="609" t="s">
        <v>3030</v>
      </c>
      <c r="G30" s="609" t="s">
        <v>3030</v>
      </c>
      <c r="H30" s="610" t="s">
        <v>539</v>
      </c>
    </row>
    <row r="31" spans="1:8">
      <c r="B31" s="1202" t="s">
        <v>3031</v>
      </c>
      <c r="C31" s="1202"/>
      <c r="D31" s="1203"/>
      <c r="E31" s="609" t="s">
        <v>539</v>
      </c>
      <c r="F31" s="609" t="s">
        <v>539</v>
      </c>
      <c r="G31" s="609" t="s">
        <v>539</v>
      </c>
      <c r="H31" s="610" t="s">
        <v>539</v>
      </c>
    </row>
    <row r="32" spans="1:8">
      <c r="A32" s="1202" t="s">
        <v>1757</v>
      </c>
      <c r="B32" s="1202"/>
      <c r="C32" s="1202"/>
      <c r="D32" s="1203"/>
      <c r="E32" s="609" t="s">
        <v>2152</v>
      </c>
      <c r="F32" s="609" t="s">
        <v>3032</v>
      </c>
      <c r="G32" s="609" t="s">
        <v>3033</v>
      </c>
      <c r="H32" s="610" t="s">
        <v>539</v>
      </c>
    </row>
    <row r="33" spans="1:8">
      <c r="B33" s="1202" t="s">
        <v>3034</v>
      </c>
      <c r="C33" s="1202"/>
      <c r="D33" s="1203"/>
      <c r="E33" s="609" t="s">
        <v>539</v>
      </c>
      <c r="F33" s="609" t="s">
        <v>539</v>
      </c>
      <c r="G33" s="609" t="s">
        <v>539</v>
      </c>
      <c r="H33" s="610" t="s">
        <v>539</v>
      </c>
    </row>
    <row r="34" spans="1:8">
      <c r="C34" s="1202" t="s">
        <v>2155</v>
      </c>
      <c r="D34" s="1203"/>
      <c r="E34" s="609" t="s">
        <v>2156</v>
      </c>
      <c r="F34" s="609" t="s">
        <v>3035</v>
      </c>
      <c r="G34" s="609" t="s">
        <v>3036</v>
      </c>
      <c r="H34" s="610" t="s">
        <v>539</v>
      </c>
    </row>
    <row r="35" spans="1:8">
      <c r="C35" s="1202" t="s">
        <v>3037</v>
      </c>
      <c r="D35" s="1203"/>
      <c r="E35" s="609" t="s">
        <v>2159</v>
      </c>
      <c r="F35" s="609" t="s">
        <v>3038</v>
      </c>
      <c r="G35" s="609" t="s">
        <v>3039</v>
      </c>
      <c r="H35" s="610" t="s">
        <v>539</v>
      </c>
    </row>
    <row r="36" spans="1:8" ht="15.75" thickBot="1">
      <c r="B36" s="1202" t="s">
        <v>2161</v>
      </c>
      <c r="C36" s="1202"/>
      <c r="D36" s="1203"/>
      <c r="E36" s="609" t="s">
        <v>2152</v>
      </c>
      <c r="F36" s="609" t="s">
        <v>3032</v>
      </c>
      <c r="G36" s="609" t="s">
        <v>3033</v>
      </c>
      <c r="H36" s="610" t="s">
        <v>539</v>
      </c>
    </row>
    <row r="37" spans="1:8" ht="15.75" thickBot="1">
      <c r="A37" s="1200" t="s">
        <v>3040</v>
      </c>
      <c r="B37" s="1200"/>
      <c r="C37" s="1200"/>
      <c r="D37" s="1201"/>
      <c r="E37" s="612" t="s">
        <v>2163</v>
      </c>
      <c r="F37" s="612" t="s">
        <v>3041</v>
      </c>
      <c r="G37" s="612">
        <v>1306482.5</v>
      </c>
      <c r="H37" s="613" t="s">
        <v>539</v>
      </c>
    </row>
    <row r="38" spans="1:8" ht="15.75" thickBot="1">
      <c r="A38" s="1200" t="s">
        <v>2971</v>
      </c>
      <c r="B38" s="1200"/>
      <c r="C38" s="1200"/>
      <c r="D38" s="1201"/>
      <c r="E38" s="612" t="s">
        <v>3043</v>
      </c>
      <c r="F38" s="612" t="s">
        <v>3044</v>
      </c>
      <c r="G38" s="612" t="s">
        <v>3045</v>
      </c>
      <c r="H38" s="613" t="s">
        <v>539</v>
      </c>
    </row>
    <row r="39" spans="1:8" ht="30" customHeight="1" thickBot="1">
      <c r="A39" s="1208" t="s">
        <v>3046</v>
      </c>
      <c r="B39" s="1208"/>
      <c r="C39" s="1208"/>
      <c r="D39" s="1209"/>
      <c r="E39" s="607" t="s">
        <v>3047</v>
      </c>
      <c r="F39" s="607" t="s">
        <v>3048</v>
      </c>
      <c r="G39" s="607" t="s">
        <v>539</v>
      </c>
      <c r="H39" s="608" t="s">
        <v>539</v>
      </c>
    </row>
    <row r="40" spans="1:8" ht="30" customHeight="1" thickBot="1">
      <c r="A40" s="1208" t="s">
        <v>3049</v>
      </c>
      <c r="B40" s="1208"/>
      <c r="C40" s="1208"/>
      <c r="D40" s="1209"/>
      <c r="E40" s="607" t="s">
        <v>3050</v>
      </c>
      <c r="F40" s="607" t="s">
        <v>3051</v>
      </c>
      <c r="G40" s="607" t="s">
        <v>3045</v>
      </c>
      <c r="H40" s="608" t="s">
        <v>539</v>
      </c>
    </row>
    <row r="41" spans="1:8" ht="15.75" thickBot="1">
      <c r="A41" s="1206" t="s">
        <v>3052</v>
      </c>
      <c r="B41" s="1206"/>
      <c r="C41" s="1206"/>
      <c r="D41" s="1207"/>
      <c r="E41" s="607" t="s">
        <v>3053</v>
      </c>
      <c r="F41" s="607" t="s">
        <v>3054</v>
      </c>
      <c r="G41" s="607" t="s">
        <v>3055</v>
      </c>
      <c r="H41" s="608" t="s">
        <v>539</v>
      </c>
    </row>
    <row r="42" spans="1:8" ht="15.75" thickBot="1">
      <c r="A42" s="1200" t="s">
        <v>3056</v>
      </c>
      <c r="B42" s="1200"/>
      <c r="C42" s="1200"/>
      <c r="D42" s="1201"/>
      <c r="E42" s="612" t="s">
        <v>2639</v>
      </c>
      <c r="F42" s="612" t="s">
        <v>3057</v>
      </c>
      <c r="G42" s="612" t="s">
        <v>3058</v>
      </c>
      <c r="H42" s="613" t="s">
        <v>539</v>
      </c>
    </row>
    <row r="43" spans="1:8" ht="15.75" thickBot="1">
      <c r="A43" s="1206" t="s">
        <v>3059</v>
      </c>
      <c r="B43" s="1206"/>
      <c r="C43" s="1206"/>
      <c r="D43" s="1207"/>
      <c r="E43" s="607" t="s">
        <v>539</v>
      </c>
      <c r="F43" s="607" t="s">
        <v>539</v>
      </c>
      <c r="G43" s="607" t="s">
        <v>539</v>
      </c>
      <c r="H43" s="608" t="s">
        <v>539</v>
      </c>
    </row>
    <row r="44" spans="1:8" ht="15.75" thickBot="1">
      <c r="A44" s="1206" t="s">
        <v>3060</v>
      </c>
      <c r="B44" s="1206"/>
      <c r="C44" s="1206"/>
      <c r="D44" s="1207"/>
      <c r="E44" s="607" t="s">
        <v>539</v>
      </c>
      <c r="F44" s="607" t="s">
        <v>539</v>
      </c>
      <c r="G44" s="607" t="s">
        <v>539</v>
      </c>
      <c r="H44" s="608" t="s">
        <v>539</v>
      </c>
    </row>
    <row r="45" spans="1:8" ht="15.75" thickBot="1">
      <c r="A45" s="472" t="s">
        <v>1320</v>
      </c>
      <c r="B45" s="420"/>
      <c r="C45" s="420"/>
      <c r="D45" s="420"/>
      <c r="E45" s="420"/>
      <c r="F45" s="420"/>
      <c r="G45" s="420"/>
      <c r="H45" s="420"/>
    </row>
    <row r="46" spans="1:8" ht="15.75" thickBot="1">
      <c r="A46" s="1017" t="s">
        <v>3061</v>
      </c>
      <c r="B46" s="1018"/>
      <c r="C46" s="1018"/>
      <c r="D46" s="1018"/>
      <c r="E46" s="464" t="s">
        <v>2987</v>
      </c>
      <c r="F46" s="675" t="s">
        <v>2988</v>
      </c>
      <c r="G46" s="1204"/>
      <c r="H46" s="1205"/>
    </row>
    <row r="47" spans="1:8">
      <c r="A47" s="1025"/>
      <c r="B47" s="1021"/>
      <c r="C47" s="1021"/>
      <c r="D47" s="1021"/>
      <c r="E47" s="470" t="s">
        <v>2989</v>
      </c>
      <c r="F47" s="470" t="s">
        <v>2990</v>
      </c>
      <c r="G47" s="470" t="s">
        <v>2991</v>
      </c>
      <c r="H47" s="471" t="s">
        <v>2992</v>
      </c>
    </row>
    <row r="48" spans="1:8" ht="15.75" thickBot="1">
      <c r="A48" s="1019"/>
      <c r="B48" s="1020"/>
      <c r="C48" s="1020"/>
      <c r="D48" s="1021"/>
      <c r="E48" s="470" t="s">
        <v>2993</v>
      </c>
      <c r="F48" s="470" t="s">
        <v>2994</v>
      </c>
      <c r="G48" s="470" t="s">
        <v>2994</v>
      </c>
      <c r="H48" s="471" t="s">
        <v>2994</v>
      </c>
    </row>
    <row r="49" spans="1:8">
      <c r="A49" s="1206" t="s">
        <v>3062</v>
      </c>
      <c r="B49" s="1206"/>
      <c r="C49" s="1206"/>
      <c r="D49" s="1207"/>
      <c r="E49" s="607" t="s">
        <v>539</v>
      </c>
      <c r="F49" s="607" t="s">
        <v>539</v>
      </c>
      <c r="G49" s="607" t="s">
        <v>539</v>
      </c>
      <c r="H49" s="608" t="s">
        <v>539</v>
      </c>
    </row>
    <row r="50" spans="1:8">
      <c r="A50" s="1202" t="s">
        <v>3063</v>
      </c>
      <c r="B50" s="1202"/>
      <c r="C50" s="1202"/>
      <c r="D50" s="1203"/>
      <c r="E50" s="609" t="s">
        <v>3064</v>
      </c>
      <c r="F50" s="609" t="s">
        <v>3065</v>
      </c>
      <c r="G50" s="609" t="s">
        <v>3066</v>
      </c>
      <c r="H50" s="610" t="s">
        <v>539</v>
      </c>
    </row>
    <row r="51" spans="1:8">
      <c r="A51" s="1202" t="s">
        <v>3067</v>
      </c>
      <c r="B51" s="1202"/>
      <c r="C51" s="1202"/>
      <c r="D51" s="1203"/>
      <c r="E51" s="609" t="s">
        <v>3068</v>
      </c>
      <c r="F51" s="609" t="s">
        <v>3069</v>
      </c>
      <c r="G51" s="609" t="s">
        <v>3069</v>
      </c>
      <c r="H51" s="610" t="s">
        <v>539</v>
      </c>
    </row>
    <row r="52" spans="1:8">
      <c r="A52" s="1202" t="s">
        <v>3070</v>
      </c>
      <c r="B52" s="1202"/>
      <c r="C52" s="1202"/>
      <c r="D52" s="1203"/>
      <c r="E52" s="609" t="s">
        <v>3071</v>
      </c>
      <c r="F52" s="609" t="s">
        <v>3072</v>
      </c>
      <c r="G52" s="609" t="s">
        <v>3073</v>
      </c>
      <c r="H52" s="610" t="s">
        <v>539</v>
      </c>
    </row>
    <row r="53" spans="1:8">
      <c r="A53" s="1202" t="s">
        <v>3074</v>
      </c>
      <c r="B53" s="1202"/>
      <c r="C53" s="1202"/>
      <c r="D53" s="1203"/>
      <c r="E53" s="609" t="s">
        <v>3075</v>
      </c>
      <c r="F53" s="609" t="s">
        <v>3076</v>
      </c>
      <c r="G53" s="609" t="s">
        <v>3077</v>
      </c>
      <c r="H53" s="610" t="s">
        <v>539</v>
      </c>
    </row>
    <row r="54" spans="1:8">
      <c r="A54" s="1202" t="s">
        <v>3078</v>
      </c>
      <c r="B54" s="1202"/>
      <c r="C54" s="1202"/>
      <c r="D54" s="1203"/>
      <c r="E54" s="609" t="s">
        <v>3079</v>
      </c>
      <c r="F54" s="609" t="s">
        <v>3080</v>
      </c>
      <c r="G54" s="609" t="s">
        <v>3081</v>
      </c>
      <c r="H54" s="610" t="s">
        <v>539</v>
      </c>
    </row>
    <row r="55" spans="1:8">
      <c r="A55" s="1202" t="s">
        <v>3082</v>
      </c>
      <c r="B55" s="1202"/>
      <c r="C55" s="1202"/>
      <c r="D55" s="1203"/>
      <c r="E55" s="609" t="s">
        <v>539</v>
      </c>
      <c r="F55" s="609" t="s">
        <v>539</v>
      </c>
      <c r="G55" s="609" t="s">
        <v>539</v>
      </c>
      <c r="H55" s="610" t="s">
        <v>539</v>
      </c>
    </row>
    <row r="56" spans="1:8">
      <c r="A56" s="1202" t="s">
        <v>3083</v>
      </c>
      <c r="B56" s="1202"/>
      <c r="C56" s="1202"/>
      <c r="D56" s="1203"/>
      <c r="E56" s="609" t="s">
        <v>539</v>
      </c>
      <c r="F56" s="609" t="s">
        <v>539</v>
      </c>
      <c r="G56" s="609" t="s">
        <v>539</v>
      </c>
      <c r="H56" s="610" t="s">
        <v>539</v>
      </c>
    </row>
    <row r="57" spans="1:8" ht="15.75" thickBot="1">
      <c r="A57" s="1210" t="s">
        <v>3084</v>
      </c>
      <c r="B57" s="1210"/>
      <c r="C57" s="1210"/>
      <c r="D57" s="1211"/>
      <c r="E57" s="614" t="s">
        <v>3085</v>
      </c>
      <c r="F57" s="614" t="s">
        <v>3085</v>
      </c>
      <c r="G57" s="614" t="s">
        <v>3085</v>
      </c>
      <c r="H57" s="615" t="s">
        <v>539</v>
      </c>
    </row>
    <row r="58" spans="1:8">
      <c r="A58" s="664" t="s">
        <v>3086</v>
      </c>
      <c r="B58" s="664"/>
      <c r="C58" s="664"/>
      <c r="D58" s="664"/>
      <c r="E58" s="664"/>
      <c r="F58" s="664"/>
      <c r="G58" s="664"/>
      <c r="H58" s="664"/>
    </row>
    <row r="59" spans="1:8">
      <c r="A59" s="681" t="s">
        <v>3087</v>
      </c>
      <c r="B59" s="681"/>
      <c r="C59" s="681"/>
      <c r="D59" s="681"/>
      <c r="E59" s="681"/>
      <c r="F59" s="681"/>
      <c r="G59" s="681"/>
      <c r="H59" s="681"/>
    </row>
    <row r="60" spans="1:8">
      <c r="A60" s="681" t="s">
        <v>3088</v>
      </c>
      <c r="B60" s="681"/>
      <c r="C60" s="681"/>
      <c r="D60" s="681"/>
      <c r="E60" s="681"/>
      <c r="F60" s="681"/>
      <c r="G60" s="681"/>
      <c r="H60" s="681"/>
    </row>
    <row r="61" spans="1:8">
      <c r="A61" s="681" t="s">
        <v>3089</v>
      </c>
      <c r="B61" s="681"/>
      <c r="C61" s="681"/>
      <c r="D61" s="681"/>
      <c r="E61" s="681"/>
      <c r="F61" s="681"/>
      <c r="G61" s="681"/>
      <c r="H61" s="681"/>
    </row>
    <row r="62" spans="1:8">
      <c r="A62" s="681" t="s">
        <v>3090</v>
      </c>
      <c r="B62" s="681"/>
      <c r="C62" s="681"/>
      <c r="D62" s="681"/>
      <c r="E62" s="681"/>
      <c r="F62" s="681"/>
      <c r="G62" s="681"/>
      <c r="H62" s="681"/>
    </row>
    <row r="63" spans="1:8">
      <c r="A63" s="681" t="s">
        <v>3091</v>
      </c>
      <c r="B63" s="681"/>
      <c r="C63" s="681"/>
      <c r="D63" s="681"/>
      <c r="E63" s="681"/>
      <c r="F63" s="681"/>
      <c r="G63" s="681"/>
      <c r="H63" s="681"/>
    </row>
  </sheetData>
  <mergeCells count="48">
    <mergeCell ref="A49:D49"/>
    <mergeCell ref="A50:D50"/>
    <mergeCell ref="A63:H63"/>
    <mergeCell ref="A52:D52"/>
    <mergeCell ref="A53:D53"/>
    <mergeCell ref="A54:D54"/>
    <mergeCell ref="A55:D55"/>
    <mergeCell ref="A56:D56"/>
    <mergeCell ref="A57:D57"/>
    <mergeCell ref="A58:H58"/>
    <mergeCell ref="A59:H59"/>
    <mergeCell ref="A60:H60"/>
    <mergeCell ref="A61:H61"/>
    <mergeCell ref="A62:H62"/>
    <mergeCell ref="A51:D51"/>
    <mergeCell ref="A40:D40"/>
    <mergeCell ref="A41:D41"/>
    <mergeCell ref="A42:D42"/>
    <mergeCell ref="F46:H46"/>
    <mergeCell ref="A43:D43"/>
    <mergeCell ref="A44:D44"/>
    <mergeCell ref="A46:D48"/>
    <mergeCell ref="B33:D33"/>
    <mergeCell ref="C34:D34"/>
    <mergeCell ref="C35:D35"/>
    <mergeCell ref="B36:D36"/>
    <mergeCell ref="A39:D39"/>
    <mergeCell ref="C23:D23"/>
    <mergeCell ref="C29:D29"/>
    <mergeCell ref="B30:D30"/>
    <mergeCell ref="B31:D31"/>
    <mergeCell ref="A32:D32"/>
    <mergeCell ref="A38:D38"/>
    <mergeCell ref="C16:D16"/>
    <mergeCell ref="A2:H2"/>
    <mergeCell ref="A3:H3"/>
    <mergeCell ref="A4:H4"/>
    <mergeCell ref="A5:H5"/>
    <mergeCell ref="A6:H6"/>
    <mergeCell ref="A8:D8"/>
    <mergeCell ref="A10:D12"/>
    <mergeCell ref="F10:H10"/>
    <mergeCell ref="A13:D13"/>
    <mergeCell ref="B14:D14"/>
    <mergeCell ref="B15:D15"/>
    <mergeCell ref="A37:D37"/>
    <mergeCell ref="C19:D19"/>
    <mergeCell ref="C20:D20"/>
  </mergeCells>
  <pageMargins left="0.511811024" right="0.511811024" top="0.78740157499999996" bottom="0.78740157499999996" header="0.31496062000000002" footer="0.31496062000000002"/>
</worksheet>
</file>

<file path=xl/worksheets/sheet26.xml><?xml version="1.0" encoding="utf-8"?>
<worksheet xmlns="http://schemas.openxmlformats.org/spreadsheetml/2006/main" xmlns:r="http://schemas.openxmlformats.org/officeDocument/2006/relationships">
  <dimension ref="A1:Q39"/>
  <sheetViews>
    <sheetView tabSelected="1" workbookViewId="0">
      <selection activeCell="G38" sqref="G38"/>
    </sheetView>
  </sheetViews>
  <sheetFormatPr defaultRowHeight="15"/>
  <cols>
    <col min="1" max="1" width="34" customWidth="1"/>
    <col min="2" max="2" width="11.140625" customWidth="1"/>
    <col min="3" max="3" width="5" customWidth="1"/>
    <col min="4" max="4" width="1" customWidth="1"/>
    <col min="5" max="5" width="3.140625" customWidth="1"/>
    <col min="6" max="6" width="9.140625" customWidth="1"/>
    <col min="7" max="7" width="9" customWidth="1"/>
    <col min="8" max="9" width="9.140625" customWidth="1"/>
    <col min="10" max="10" width="1" customWidth="1"/>
    <col min="11" max="11" width="13.140625" customWidth="1"/>
    <col min="12" max="12" width="8.140625" customWidth="1"/>
    <col min="13" max="13" width="1" customWidth="1"/>
    <col min="14" max="14" width="10.140625" customWidth="1"/>
    <col min="15" max="15" width="6" customWidth="1"/>
    <col min="16" max="16" width="5.140625" customWidth="1"/>
    <col min="17" max="17" width="0.5703125" customWidth="1"/>
  </cols>
  <sheetData>
    <row r="1" spans="1:17" ht="11.85" customHeight="1">
      <c r="A1" s="740" t="s">
        <v>3092</v>
      </c>
      <c r="B1" s="740"/>
      <c r="C1" s="740"/>
      <c r="D1" s="740"/>
      <c r="O1" s="741" t="s">
        <v>2473</v>
      </c>
      <c r="P1" s="741"/>
    </row>
    <row r="2" spans="1:17" ht="11.1" customHeight="1">
      <c r="A2" s="740" t="s">
        <v>2947</v>
      </c>
      <c r="B2" s="740"/>
      <c r="C2" s="740"/>
      <c r="D2" s="740"/>
    </row>
    <row r="3" spans="1:17" ht="11.85" customHeight="1">
      <c r="A3" s="742" t="s">
        <v>3093</v>
      </c>
      <c r="B3" s="742"/>
      <c r="C3" s="742"/>
      <c r="D3" s="742"/>
    </row>
    <row r="4" spans="1:17" ht="11.85" customHeight="1">
      <c r="A4" s="740" t="s">
        <v>2476</v>
      </c>
      <c r="B4" s="740"/>
      <c r="C4" s="740"/>
      <c r="D4" s="740"/>
    </row>
    <row r="5" spans="1:17" ht="11.85" customHeight="1">
      <c r="A5" s="740" t="s">
        <v>3094</v>
      </c>
      <c r="B5" s="740"/>
      <c r="C5" s="740"/>
      <c r="D5" s="740"/>
    </row>
    <row r="6" spans="1:17" ht="5.85" customHeight="1"/>
    <row r="7" spans="1:17" ht="11.1" customHeight="1">
      <c r="A7" s="810" t="s">
        <v>3095</v>
      </c>
      <c r="B7" s="810"/>
      <c r="C7" s="810"/>
      <c r="D7" s="502"/>
      <c r="E7" s="502"/>
      <c r="F7" s="502"/>
      <c r="G7" s="502"/>
      <c r="H7" s="502"/>
      <c r="I7" s="502"/>
      <c r="J7" s="502"/>
      <c r="K7" s="502"/>
      <c r="L7" s="502"/>
      <c r="M7" s="750" t="s">
        <v>1312</v>
      </c>
      <c r="N7" s="750"/>
      <c r="O7" s="750"/>
      <c r="P7" s="750"/>
      <c r="Q7" s="502"/>
    </row>
    <row r="8" spans="1:17" ht="11.85" customHeight="1">
      <c r="A8" s="804" t="s">
        <v>3096</v>
      </c>
      <c r="B8" s="1134" t="s">
        <v>3097</v>
      </c>
      <c r="C8" s="804" t="s">
        <v>3098</v>
      </c>
      <c r="D8" s="805"/>
      <c r="E8" s="805"/>
      <c r="F8" s="805"/>
      <c r="G8" s="805"/>
      <c r="H8" s="806"/>
      <c r="I8" s="1134" t="s">
        <v>3099</v>
      </c>
      <c r="J8" s="1134" t="s">
        <v>3100</v>
      </c>
      <c r="K8" s="1039"/>
      <c r="L8" s="1134" t="s">
        <v>3101</v>
      </c>
      <c r="M8" s="1039"/>
      <c r="N8" s="757" t="s">
        <v>3102</v>
      </c>
      <c r="O8" s="1134" t="s">
        <v>3103</v>
      </c>
      <c r="P8" s="1038"/>
      <c r="Q8" s="1039"/>
    </row>
    <row r="9" spans="1:17" ht="17.850000000000001" customHeight="1">
      <c r="A9" s="1212"/>
      <c r="B9" s="1214"/>
      <c r="C9" s="757" t="s">
        <v>3104</v>
      </c>
      <c r="D9" s="758"/>
      <c r="E9" s="758"/>
      <c r="F9" s="759"/>
      <c r="G9" s="1134" t="s">
        <v>3105</v>
      </c>
      <c r="H9" s="1134" t="s">
        <v>3106</v>
      </c>
      <c r="I9" s="1214"/>
      <c r="J9" s="1135"/>
      <c r="K9" s="1136"/>
      <c r="L9" s="1135"/>
      <c r="M9" s="1136"/>
      <c r="N9" s="1214"/>
      <c r="O9" s="1135"/>
      <c r="P9" s="1146"/>
      <c r="Q9" s="1136"/>
    </row>
    <row r="10" spans="1:17" ht="19.899999999999999" customHeight="1">
      <c r="A10" s="1212"/>
      <c r="B10" s="1214"/>
      <c r="C10" s="1134" t="s">
        <v>3107</v>
      </c>
      <c r="D10" s="1038"/>
      <c r="E10" s="1039"/>
      <c r="F10" s="616" t="s">
        <v>3108</v>
      </c>
      <c r="G10" s="1214"/>
      <c r="H10" s="1214"/>
      <c r="I10" s="1214"/>
      <c r="J10" s="1135"/>
      <c r="K10" s="1136"/>
      <c r="L10" s="1135"/>
      <c r="M10" s="1136"/>
      <c r="N10" s="1214"/>
      <c r="O10" s="1135"/>
      <c r="P10" s="1146"/>
      <c r="Q10" s="1136"/>
    </row>
    <row r="11" spans="1:17" ht="8.85" customHeight="1">
      <c r="A11" s="1213"/>
      <c r="B11" s="617" t="s">
        <v>922</v>
      </c>
      <c r="C11" s="1215" t="s">
        <v>923</v>
      </c>
      <c r="D11" s="1041"/>
      <c r="E11" s="1042"/>
      <c r="F11" s="617" t="s">
        <v>2197</v>
      </c>
      <c r="G11" s="617" t="s">
        <v>1323</v>
      </c>
      <c r="H11" s="617" t="s">
        <v>2487</v>
      </c>
      <c r="I11" s="617" t="s">
        <v>2199</v>
      </c>
      <c r="J11" s="1215" t="s">
        <v>3109</v>
      </c>
      <c r="K11" s="1042"/>
      <c r="L11" s="1215" t="s">
        <v>2201</v>
      </c>
      <c r="M11" s="1042"/>
      <c r="N11" s="1215"/>
      <c r="O11" s="1215" t="s">
        <v>3110</v>
      </c>
      <c r="P11" s="1041"/>
      <c r="Q11" s="1042"/>
    </row>
    <row r="12" spans="1:17" ht="11.85" customHeight="1">
      <c r="A12" s="618" t="s">
        <v>3111</v>
      </c>
      <c r="B12" s="619" t="s">
        <v>3112</v>
      </c>
      <c r="C12" s="1216" t="s">
        <v>3113</v>
      </c>
      <c r="D12" s="1217"/>
      <c r="E12" s="1218"/>
      <c r="F12" s="619" t="s">
        <v>895</v>
      </c>
      <c r="G12" s="619" t="s">
        <v>3114</v>
      </c>
      <c r="H12" s="619" t="s">
        <v>3115</v>
      </c>
      <c r="I12" s="619" t="s">
        <v>895</v>
      </c>
      <c r="J12" s="1216" t="s">
        <v>3116</v>
      </c>
      <c r="K12" s="1218"/>
      <c r="L12" s="1216" t="s">
        <v>895</v>
      </c>
      <c r="M12" s="1218"/>
      <c r="N12" s="619" t="s">
        <v>895</v>
      </c>
      <c r="O12" s="1216" t="s">
        <v>3116</v>
      </c>
      <c r="P12" s="1217"/>
      <c r="Q12" s="1218"/>
    </row>
    <row r="13" spans="1:17" ht="11.85" customHeight="1">
      <c r="A13" s="620" t="s">
        <v>3117</v>
      </c>
      <c r="B13" s="504" t="s">
        <v>3112</v>
      </c>
      <c r="C13" s="1219" t="s">
        <v>3113</v>
      </c>
      <c r="D13" s="1220"/>
      <c r="E13" s="1221"/>
      <c r="F13" s="504" t="s">
        <v>895</v>
      </c>
      <c r="G13" s="504" t="s">
        <v>3114</v>
      </c>
      <c r="H13" s="504" t="s">
        <v>3115</v>
      </c>
      <c r="I13" s="504" t="s">
        <v>895</v>
      </c>
      <c r="J13" s="1219" t="s">
        <v>3116</v>
      </c>
      <c r="K13" s="1221"/>
      <c r="L13" s="1219" t="s">
        <v>895</v>
      </c>
      <c r="M13" s="1221"/>
      <c r="N13" s="504" t="s">
        <v>895</v>
      </c>
      <c r="O13" s="1219" t="s">
        <v>3116</v>
      </c>
      <c r="P13" s="1220"/>
      <c r="Q13" s="1221"/>
    </row>
    <row r="14" spans="1:17" ht="11.1" customHeight="1">
      <c r="A14" s="621" t="s">
        <v>3118</v>
      </c>
      <c r="B14" s="506" t="s">
        <v>895</v>
      </c>
      <c r="C14" s="823" t="s">
        <v>895</v>
      </c>
      <c r="D14" s="824"/>
      <c r="E14" s="825"/>
      <c r="F14" s="506" t="s">
        <v>895</v>
      </c>
      <c r="G14" s="506" t="s">
        <v>895</v>
      </c>
      <c r="H14" s="506" t="s">
        <v>895</v>
      </c>
      <c r="I14" s="506" t="s">
        <v>895</v>
      </c>
      <c r="J14" s="823" t="s">
        <v>895</v>
      </c>
      <c r="K14" s="825"/>
      <c r="L14" s="823" t="s">
        <v>895</v>
      </c>
      <c r="M14" s="825"/>
      <c r="N14" s="506" t="s">
        <v>895</v>
      </c>
      <c r="O14" s="823" t="s">
        <v>895</v>
      </c>
      <c r="P14" s="824"/>
      <c r="Q14" s="825"/>
    </row>
    <row r="15" spans="1:17" ht="11.85" customHeight="1">
      <c r="A15" s="618" t="s">
        <v>3119</v>
      </c>
      <c r="B15" s="619" t="s">
        <v>3120</v>
      </c>
      <c r="C15" s="1216" t="s">
        <v>3121</v>
      </c>
      <c r="D15" s="1217"/>
      <c r="E15" s="1218"/>
      <c r="F15" s="619" t="s">
        <v>895</v>
      </c>
      <c r="G15" s="619" t="s">
        <v>3122</v>
      </c>
      <c r="H15" s="619" t="s">
        <v>3123</v>
      </c>
      <c r="I15" s="619" t="s">
        <v>895</v>
      </c>
      <c r="J15" s="1216" t="s">
        <v>3124</v>
      </c>
      <c r="K15" s="1218"/>
      <c r="L15" s="1216" t="s">
        <v>895</v>
      </c>
      <c r="M15" s="1218"/>
      <c r="N15" s="619" t="s">
        <v>895</v>
      </c>
      <c r="O15" s="1216" t="s">
        <v>3124</v>
      </c>
      <c r="P15" s="1217"/>
      <c r="Q15" s="1218"/>
    </row>
    <row r="16" spans="1:17" ht="11.85" customHeight="1">
      <c r="A16" s="620" t="s">
        <v>3125</v>
      </c>
      <c r="B16" s="504" t="s">
        <v>3126</v>
      </c>
      <c r="C16" s="1219" t="s">
        <v>3127</v>
      </c>
      <c r="D16" s="1220"/>
      <c r="E16" s="1221"/>
      <c r="F16" s="504" t="s">
        <v>895</v>
      </c>
      <c r="G16" s="504" t="s">
        <v>3128</v>
      </c>
      <c r="H16" s="504" t="s">
        <v>3129</v>
      </c>
      <c r="I16" s="504" t="s">
        <v>895</v>
      </c>
      <c r="J16" s="1219" t="s">
        <v>3130</v>
      </c>
      <c r="K16" s="1221"/>
      <c r="L16" s="1219" t="s">
        <v>895</v>
      </c>
      <c r="M16" s="1221"/>
      <c r="N16" s="504" t="s">
        <v>895</v>
      </c>
      <c r="O16" s="1219" t="s">
        <v>3130</v>
      </c>
      <c r="P16" s="1220"/>
      <c r="Q16" s="1221"/>
    </row>
    <row r="17" spans="1:17" ht="11.85" customHeight="1">
      <c r="A17" s="622" t="s">
        <v>1712</v>
      </c>
      <c r="B17" s="505" t="s">
        <v>3131</v>
      </c>
      <c r="C17" s="811" t="s">
        <v>3132</v>
      </c>
      <c r="D17" s="812"/>
      <c r="E17" s="813"/>
      <c r="F17" s="505" t="s">
        <v>895</v>
      </c>
      <c r="G17" s="505" t="s">
        <v>895</v>
      </c>
      <c r="H17" s="505" t="s">
        <v>3133</v>
      </c>
      <c r="I17" s="505" t="s">
        <v>895</v>
      </c>
      <c r="J17" s="811" t="s">
        <v>3134</v>
      </c>
      <c r="K17" s="813"/>
      <c r="L17" s="811" t="s">
        <v>895</v>
      </c>
      <c r="M17" s="813"/>
      <c r="N17" s="505" t="s">
        <v>895</v>
      </c>
      <c r="O17" s="811" t="s">
        <v>3134</v>
      </c>
      <c r="P17" s="812"/>
      <c r="Q17" s="813"/>
    </row>
    <row r="18" spans="1:17" ht="11.1" customHeight="1">
      <c r="A18" s="622" t="s">
        <v>3135</v>
      </c>
      <c r="B18" s="505" t="s">
        <v>3136</v>
      </c>
      <c r="C18" s="811" t="s">
        <v>3137</v>
      </c>
      <c r="D18" s="812"/>
      <c r="E18" s="813"/>
      <c r="F18" s="505" t="s">
        <v>895</v>
      </c>
      <c r="G18" s="505" t="s">
        <v>895</v>
      </c>
      <c r="H18" s="505" t="s">
        <v>895</v>
      </c>
      <c r="I18" s="505" t="s">
        <v>895</v>
      </c>
      <c r="J18" s="811" t="s">
        <v>3138</v>
      </c>
      <c r="K18" s="813"/>
      <c r="L18" s="811" t="s">
        <v>895</v>
      </c>
      <c r="M18" s="813"/>
      <c r="N18" s="505" t="s">
        <v>895</v>
      </c>
      <c r="O18" s="811" t="s">
        <v>3138</v>
      </c>
      <c r="P18" s="812"/>
      <c r="Q18" s="813"/>
    </row>
    <row r="19" spans="1:17" ht="11.85" customHeight="1">
      <c r="A19" s="622" t="s">
        <v>3139</v>
      </c>
      <c r="B19" s="505" t="s">
        <v>3140</v>
      </c>
      <c r="C19" s="811" t="s">
        <v>3141</v>
      </c>
      <c r="D19" s="812"/>
      <c r="E19" s="813"/>
      <c r="F19" s="505" t="s">
        <v>895</v>
      </c>
      <c r="G19" s="505" t="s">
        <v>895</v>
      </c>
      <c r="H19" s="505" t="s">
        <v>3142</v>
      </c>
      <c r="I19" s="505" t="s">
        <v>895</v>
      </c>
      <c r="J19" s="811" t="s">
        <v>3143</v>
      </c>
      <c r="K19" s="813"/>
      <c r="L19" s="811" t="s">
        <v>895</v>
      </c>
      <c r="M19" s="813"/>
      <c r="N19" s="505" t="s">
        <v>895</v>
      </c>
      <c r="O19" s="811" t="s">
        <v>3143</v>
      </c>
      <c r="P19" s="812"/>
      <c r="Q19" s="813"/>
    </row>
    <row r="20" spans="1:17" ht="11.85" customHeight="1">
      <c r="A20" s="622" t="s">
        <v>3144</v>
      </c>
      <c r="B20" s="505" t="s">
        <v>3145</v>
      </c>
      <c r="C20" s="811" t="s">
        <v>3146</v>
      </c>
      <c r="D20" s="812"/>
      <c r="E20" s="813"/>
      <c r="F20" s="505" t="s">
        <v>895</v>
      </c>
      <c r="G20" s="505" t="s">
        <v>838</v>
      </c>
      <c r="H20" s="505" t="s">
        <v>3147</v>
      </c>
      <c r="I20" s="505" t="s">
        <v>895</v>
      </c>
      <c r="J20" s="811" t="s">
        <v>3148</v>
      </c>
      <c r="K20" s="813"/>
      <c r="L20" s="811" t="s">
        <v>895</v>
      </c>
      <c r="M20" s="813"/>
      <c r="N20" s="505" t="s">
        <v>895</v>
      </c>
      <c r="O20" s="811" t="s">
        <v>3148</v>
      </c>
      <c r="P20" s="812"/>
      <c r="Q20" s="813"/>
    </row>
    <row r="21" spans="1:17" ht="11.85" customHeight="1">
      <c r="A21" s="622" t="s">
        <v>3149</v>
      </c>
      <c r="B21" s="505" t="s">
        <v>3150</v>
      </c>
      <c r="C21" s="811" t="s">
        <v>3151</v>
      </c>
      <c r="D21" s="812"/>
      <c r="E21" s="813"/>
      <c r="F21" s="505" t="s">
        <v>895</v>
      </c>
      <c r="G21" s="505" t="s">
        <v>3152</v>
      </c>
      <c r="H21" s="505" t="s">
        <v>3153</v>
      </c>
      <c r="I21" s="505" t="s">
        <v>895</v>
      </c>
      <c r="J21" s="811" t="s">
        <v>3154</v>
      </c>
      <c r="K21" s="813"/>
      <c r="L21" s="811" t="s">
        <v>895</v>
      </c>
      <c r="M21" s="813"/>
      <c r="N21" s="505" t="s">
        <v>895</v>
      </c>
      <c r="O21" s="811" t="s">
        <v>3154</v>
      </c>
      <c r="P21" s="812"/>
      <c r="Q21" s="813"/>
    </row>
    <row r="22" spans="1:17" ht="11.1" customHeight="1">
      <c r="A22" s="622" t="s">
        <v>3155</v>
      </c>
      <c r="B22" s="505" t="s">
        <v>3156</v>
      </c>
      <c r="C22" s="811" t="s">
        <v>3157</v>
      </c>
      <c r="D22" s="812"/>
      <c r="E22" s="813"/>
      <c r="F22" s="505" t="s">
        <v>895</v>
      </c>
      <c r="G22" s="505" t="s">
        <v>895</v>
      </c>
      <c r="H22" s="505" t="s">
        <v>3158</v>
      </c>
      <c r="I22" s="505" t="s">
        <v>895</v>
      </c>
      <c r="J22" s="811" t="s">
        <v>3159</v>
      </c>
      <c r="K22" s="813"/>
      <c r="L22" s="811" t="s">
        <v>895</v>
      </c>
      <c r="M22" s="813"/>
      <c r="N22" s="505" t="s">
        <v>895</v>
      </c>
      <c r="O22" s="811" t="s">
        <v>3159</v>
      </c>
      <c r="P22" s="812"/>
      <c r="Q22" s="813"/>
    </row>
    <row r="23" spans="1:17" ht="11.85" customHeight="1">
      <c r="A23" s="622" t="s">
        <v>3160</v>
      </c>
      <c r="B23" s="505" t="s">
        <v>895</v>
      </c>
      <c r="C23" s="811" t="s">
        <v>895</v>
      </c>
      <c r="D23" s="812"/>
      <c r="E23" s="813"/>
      <c r="F23" s="505" t="s">
        <v>895</v>
      </c>
      <c r="G23" s="505" t="s">
        <v>895</v>
      </c>
      <c r="H23" s="505" t="s">
        <v>895</v>
      </c>
      <c r="I23" s="505" t="s">
        <v>895</v>
      </c>
      <c r="J23" s="811" t="s">
        <v>895</v>
      </c>
      <c r="K23" s="813"/>
      <c r="L23" s="811" t="s">
        <v>895</v>
      </c>
      <c r="M23" s="813"/>
      <c r="N23" s="505" t="s">
        <v>895</v>
      </c>
      <c r="O23" s="811" t="s">
        <v>895</v>
      </c>
      <c r="P23" s="812"/>
      <c r="Q23" s="813"/>
    </row>
    <row r="24" spans="1:17" ht="11.85" customHeight="1">
      <c r="A24" s="622" t="s">
        <v>3161</v>
      </c>
      <c r="B24" s="505" t="s">
        <v>895</v>
      </c>
      <c r="C24" s="811" t="s">
        <v>895</v>
      </c>
      <c r="D24" s="812"/>
      <c r="E24" s="813"/>
      <c r="F24" s="505" t="s">
        <v>895</v>
      </c>
      <c r="G24" s="505" t="s">
        <v>895</v>
      </c>
      <c r="H24" s="505" t="s">
        <v>895</v>
      </c>
      <c r="I24" s="505" t="s">
        <v>895</v>
      </c>
      <c r="J24" s="811" t="s">
        <v>895</v>
      </c>
      <c r="K24" s="813"/>
      <c r="L24" s="811" t="s">
        <v>895</v>
      </c>
      <c r="M24" s="813"/>
      <c r="N24" s="505" t="s">
        <v>895</v>
      </c>
      <c r="O24" s="811" t="s">
        <v>895</v>
      </c>
      <c r="P24" s="812"/>
      <c r="Q24" s="813"/>
    </row>
    <row r="25" spans="1:17" ht="11.85" customHeight="1">
      <c r="A25" s="622" t="s">
        <v>3162</v>
      </c>
      <c r="B25" s="505" t="s">
        <v>895</v>
      </c>
      <c r="C25" s="811" t="s">
        <v>895</v>
      </c>
      <c r="D25" s="812"/>
      <c r="E25" s="813"/>
      <c r="F25" s="505" t="s">
        <v>895</v>
      </c>
      <c r="G25" s="505" t="s">
        <v>895</v>
      </c>
      <c r="H25" s="505" t="s">
        <v>895</v>
      </c>
      <c r="I25" s="505" t="s">
        <v>895</v>
      </c>
      <c r="J25" s="811" t="s">
        <v>895</v>
      </c>
      <c r="K25" s="813"/>
      <c r="L25" s="811" t="s">
        <v>895</v>
      </c>
      <c r="M25" s="813"/>
      <c r="N25" s="505" t="s">
        <v>895</v>
      </c>
      <c r="O25" s="811" t="s">
        <v>895</v>
      </c>
      <c r="P25" s="812"/>
      <c r="Q25" s="813"/>
    </row>
    <row r="26" spans="1:17" ht="11.1" customHeight="1">
      <c r="A26" s="621" t="s">
        <v>3163</v>
      </c>
      <c r="B26" s="506" t="s">
        <v>3164</v>
      </c>
      <c r="C26" s="823" t="s">
        <v>3165</v>
      </c>
      <c r="D26" s="824"/>
      <c r="E26" s="825"/>
      <c r="F26" s="506" t="s">
        <v>895</v>
      </c>
      <c r="G26" s="506" t="s">
        <v>3166</v>
      </c>
      <c r="H26" s="506" t="s">
        <v>3167</v>
      </c>
      <c r="I26" s="506" t="s">
        <v>895</v>
      </c>
      <c r="J26" s="823" t="s">
        <v>3168</v>
      </c>
      <c r="K26" s="825"/>
      <c r="L26" s="823" t="s">
        <v>895</v>
      </c>
      <c r="M26" s="825"/>
      <c r="N26" s="506" t="s">
        <v>895</v>
      </c>
      <c r="O26" s="823" t="s">
        <v>3168</v>
      </c>
      <c r="P26" s="824"/>
      <c r="Q26" s="825"/>
    </row>
    <row r="27" spans="1:17" ht="11.85" customHeight="1">
      <c r="A27" s="519" t="s">
        <v>3169</v>
      </c>
      <c r="B27" s="623" t="s">
        <v>3170</v>
      </c>
      <c r="C27" s="820" t="s">
        <v>3171</v>
      </c>
      <c r="D27" s="821"/>
      <c r="E27" s="822"/>
      <c r="F27" s="623" t="s">
        <v>895</v>
      </c>
      <c r="G27" s="623" t="s">
        <v>3172</v>
      </c>
      <c r="H27" s="623" t="s">
        <v>3173</v>
      </c>
      <c r="I27" s="623" t="s">
        <v>895</v>
      </c>
      <c r="J27" s="820" t="s">
        <v>3174</v>
      </c>
      <c r="K27" s="822"/>
      <c r="L27" s="820" t="s">
        <v>895</v>
      </c>
      <c r="M27" s="822"/>
      <c r="N27" s="623" t="s">
        <v>895</v>
      </c>
      <c r="O27" s="820" t="s">
        <v>3174</v>
      </c>
      <c r="P27" s="821"/>
      <c r="Q27" s="822"/>
    </row>
    <row r="28" spans="1:17" ht="11.85" customHeight="1">
      <c r="A28" s="1016" t="s">
        <v>3175</v>
      </c>
      <c r="B28" s="1016"/>
      <c r="C28" s="1016"/>
      <c r="D28" s="1016"/>
      <c r="E28" s="1016"/>
      <c r="F28" s="1016"/>
      <c r="G28" s="1016"/>
      <c r="H28" s="1016"/>
      <c r="I28" s="1016"/>
      <c r="J28" s="1016"/>
      <c r="K28" s="511"/>
      <c r="L28" s="511"/>
      <c r="M28" s="511"/>
      <c r="N28" s="511"/>
      <c r="O28" s="511"/>
      <c r="P28" s="511"/>
      <c r="Q28" s="511"/>
    </row>
    <row r="29" spans="1:17" ht="5.85" customHeight="1"/>
    <row r="30" spans="1:17" s="1" customFormat="1" ht="11.25">
      <c r="A30" s="1" t="s">
        <v>3523</v>
      </c>
    </row>
    <row r="34" spans="1:16">
      <c r="A34" s="55" t="s">
        <v>103</v>
      </c>
      <c r="D34" s="55" t="s">
        <v>104</v>
      </c>
      <c r="K34" s="58" t="s">
        <v>105</v>
      </c>
    </row>
    <row r="35" spans="1:16">
      <c r="A35" s="55" t="s">
        <v>106</v>
      </c>
      <c r="D35" s="55" t="s">
        <v>107</v>
      </c>
      <c r="K35" s="58" t="s">
        <v>108</v>
      </c>
    </row>
    <row r="39" spans="1:16" ht="11.85" customHeight="1">
      <c r="A39" s="779" t="s">
        <v>3176</v>
      </c>
      <c r="B39" s="779"/>
      <c r="C39" s="779"/>
      <c r="D39" s="779"/>
      <c r="E39" s="779"/>
      <c r="F39" s="779"/>
      <c r="G39" s="779"/>
      <c r="H39" s="779"/>
      <c r="I39" s="779"/>
      <c r="J39" s="779"/>
      <c r="K39" s="779"/>
      <c r="L39" s="779"/>
      <c r="M39" s="779"/>
      <c r="N39" s="779"/>
      <c r="O39" s="779"/>
      <c r="P39" s="779"/>
    </row>
  </sheetData>
  <mergeCells count="90">
    <mergeCell ref="A39:P39"/>
    <mergeCell ref="C25:E25"/>
    <mergeCell ref="J25:K25"/>
    <mergeCell ref="L25:M25"/>
    <mergeCell ref="O25:Q25"/>
    <mergeCell ref="C26:E26"/>
    <mergeCell ref="J26:K26"/>
    <mergeCell ref="L26:M26"/>
    <mergeCell ref="O26:Q26"/>
    <mergeCell ref="C27:E27"/>
    <mergeCell ref="J27:K27"/>
    <mergeCell ref="L27:M27"/>
    <mergeCell ref="O27:Q27"/>
    <mergeCell ref="A28:J28"/>
    <mergeCell ref="C23:E23"/>
    <mergeCell ref="J23:K23"/>
    <mergeCell ref="L23:M23"/>
    <mergeCell ref="O23:Q23"/>
    <mergeCell ref="C24:E24"/>
    <mergeCell ref="J24:K24"/>
    <mergeCell ref="L24:M24"/>
    <mergeCell ref="O24:Q24"/>
    <mergeCell ref="C21:E21"/>
    <mergeCell ref="J21:K21"/>
    <mergeCell ref="L21:M21"/>
    <mergeCell ref="O21:Q21"/>
    <mergeCell ref="C22:E22"/>
    <mergeCell ref="J22:K22"/>
    <mergeCell ref="L22:M22"/>
    <mergeCell ref="O22:Q22"/>
    <mergeCell ref="C19:E19"/>
    <mergeCell ref="J19:K19"/>
    <mergeCell ref="L19:M19"/>
    <mergeCell ref="O19:Q19"/>
    <mergeCell ref="C20:E20"/>
    <mergeCell ref="J20:K20"/>
    <mergeCell ref="L20:M20"/>
    <mergeCell ref="O20:Q20"/>
    <mergeCell ref="C17:E17"/>
    <mergeCell ref="J17:K17"/>
    <mergeCell ref="L17:M17"/>
    <mergeCell ref="O17:Q17"/>
    <mergeCell ref="C18:E18"/>
    <mergeCell ref="J18:K18"/>
    <mergeCell ref="L18:M18"/>
    <mergeCell ref="O18:Q18"/>
    <mergeCell ref="C15:E15"/>
    <mergeCell ref="J15:K15"/>
    <mergeCell ref="L15:M15"/>
    <mergeCell ref="O15:Q15"/>
    <mergeCell ref="C16:E16"/>
    <mergeCell ref="J16:K16"/>
    <mergeCell ref="L16:M16"/>
    <mergeCell ref="O16:Q16"/>
    <mergeCell ref="C13:E13"/>
    <mergeCell ref="J13:K13"/>
    <mergeCell ref="L13:M13"/>
    <mergeCell ref="O13:Q13"/>
    <mergeCell ref="C14:E14"/>
    <mergeCell ref="J14:K14"/>
    <mergeCell ref="L14:M14"/>
    <mergeCell ref="O14:Q14"/>
    <mergeCell ref="O11:Q11"/>
    <mergeCell ref="C12:E12"/>
    <mergeCell ref="J12:K12"/>
    <mergeCell ref="L12:M12"/>
    <mergeCell ref="O12:Q12"/>
    <mergeCell ref="J11:K11"/>
    <mergeCell ref="A7:C7"/>
    <mergeCell ref="M7:P7"/>
    <mergeCell ref="A8:A11"/>
    <mergeCell ref="B8:B10"/>
    <mergeCell ref="C8:H8"/>
    <mergeCell ref="I8:I10"/>
    <mergeCell ref="J8:K10"/>
    <mergeCell ref="L8:M10"/>
    <mergeCell ref="N8:N11"/>
    <mergeCell ref="O8:Q10"/>
    <mergeCell ref="C9:F9"/>
    <mergeCell ref="G9:G10"/>
    <mergeCell ref="H9:H10"/>
    <mergeCell ref="C10:E10"/>
    <mergeCell ref="C11:E11"/>
    <mergeCell ref="L11:M11"/>
    <mergeCell ref="A5:D5"/>
    <mergeCell ref="A1:D1"/>
    <mergeCell ref="O1:P1"/>
    <mergeCell ref="A2:D2"/>
    <mergeCell ref="A3:D3"/>
    <mergeCell ref="A4:D4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E45"/>
  <sheetViews>
    <sheetView workbookViewId="0">
      <selection activeCell="B1" sqref="B1"/>
    </sheetView>
  </sheetViews>
  <sheetFormatPr defaultRowHeight="15"/>
  <cols>
    <col min="1" max="1" width="58.7109375" customWidth="1"/>
    <col min="2" max="2" width="40.7109375" customWidth="1"/>
    <col min="3" max="3" width="18.7109375" customWidth="1"/>
    <col min="4" max="6" width="12.7109375" customWidth="1"/>
  </cols>
  <sheetData>
    <row r="1" spans="1:5" s="3" customFormat="1" ht="8.25"/>
    <row r="2" spans="1:5">
      <c r="A2" s="698" t="s">
        <v>3177</v>
      </c>
      <c r="B2" s="698"/>
      <c r="C2" s="698"/>
    </row>
    <row r="3" spans="1:5">
      <c r="A3" s="698" t="s">
        <v>2947</v>
      </c>
      <c r="B3" s="698"/>
      <c r="C3" s="698"/>
    </row>
    <row r="4" spans="1:5">
      <c r="A4" s="699" t="s">
        <v>3178</v>
      </c>
      <c r="B4" s="699"/>
      <c r="C4" s="699"/>
    </row>
    <row r="5" spans="1:5">
      <c r="A5" s="698" t="s">
        <v>2476</v>
      </c>
      <c r="B5" s="698"/>
      <c r="C5" s="698"/>
    </row>
    <row r="6" spans="1:5">
      <c r="A6" s="698" t="s">
        <v>3179</v>
      </c>
      <c r="B6" s="698"/>
      <c r="C6" s="698"/>
      <c r="E6" s="3"/>
    </row>
    <row r="7" spans="1:5" s="3" customFormat="1" ht="8.25"/>
    <row r="8" spans="1:5" s="533" customFormat="1" ht="12.75">
      <c r="A8" s="468" t="s">
        <v>3180</v>
      </c>
      <c r="C8" s="477" t="s">
        <v>1312</v>
      </c>
      <c r="D8" s="3"/>
      <c r="E8" s="3"/>
    </row>
    <row r="9" spans="1:5">
      <c r="A9" s="624" t="s">
        <v>3181</v>
      </c>
      <c r="B9" s="1222" t="s">
        <v>3182</v>
      </c>
      <c r="C9" s="1223"/>
      <c r="D9" s="3"/>
      <c r="E9" s="3"/>
    </row>
    <row r="10" spans="1:5" s="1" customFormat="1" ht="11.25">
      <c r="A10" s="1224" t="s">
        <v>3198</v>
      </c>
      <c r="B10" s="1227">
        <f>109028370.1</f>
        <v>109028370.09999999</v>
      </c>
      <c r="C10" s="1227"/>
      <c r="D10" s="3"/>
      <c r="E10" s="3"/>
    </row>
    <row r="11" spans="1:5" s="1" customFormat="1" ht="11.25">
      <c r="A11" s="1225" t="s">
        <v>906</v>
      </c>
      <c r="B11" s="1227">
        <f>108578370.1-880000</f>
        <v>107698370.09999999</v>
      </c>
      <c r="C11" s="1227"/>
      <c r="D11" s="3"/>
      <c r="E11" s="3"/>
    </row>
    <row r="12" spans="1:5" s="1" customFormat="1" ht="11.25">
      <c r="A12" s="1226" t="s">
        <v>3197</v>
      </c>
      <c r="B12" s="1227">
        <f>108578370.1-880000</f>
        <v>107698370.09999999</v>
      </c>
      <c r="C12" s="1227"/>
      <c r="D12" s="3"/>
      <c r="E12" s="3"/>
    </row>
    <row r="13" spans="1:5" s="3" customFormat="1" ht="8.25"/>
    <row r="14" spans="1:5">
      <c r="A14" s="624" t="s">
        <v>2951</v>
      </c>
      <c r="B14" s="627" t="s">
        <v>1917</v>
      </c>
      <c r="C14" s="628" t="s">
        <v>2970</v>
      </c>
    </row>
    <row r="15" spans="1:5" s="1" customFormat="1" ht="11.25">
      <c r="A15" s="625" t="s">
        <v>3183</v>
      </c>
      <c r="B15" s="629">
        <v>65143424.840000004</v>
      </c>
      <c r="C15" s="1229">
        <f>(B15/B12)*100</f>
        <v>60.486918028112299</v>
      </c>
    </row>
    <row r="16" spans="1:5" s="1" customFormat="1" ht="11.25">
      <c r="A16" s="491" t="s">
        <v>3184</v>
      </c>
      <c r="B16" s="631">
        <f>B12*0.54</f>
        <v>58157119.854000002</v>
      </c>
      <c r="C16" s="632">
        <v>54</v>
      </c>
    </row>
    <row r="17" spans="1:3" s="1" customFormat="1" ht="11.25">
      <c r="A17" s="491" t="s">
        <v>3185</v>
      </c>
      <c r="B17" s="631">
        <f>B12*0.513</f>
        <v>55249263.861299999</v>
      </c>
      <c r="C17" s="632">
        <v>51.3</v>
      </c>
    </row>
    <row r="18" spans="1:3" s="1" customFormat="1" ht="11.25">
      <c r="A18" s="626" t="s">
        <v>3186</v>
      </c>
      <c r="B18" s="633">
        <f>B12*0.486</f>
        <v>52341407.868599996</v>
      </c>
      <c r="C18" s="634">
        <v>48.6</v>
      </c>
    </row>
    <row r="19" spans="1:3" s="3" customFormat="1" ht="8.25"/>
    <row r="20" spans="1:3">
      <c r="A20" s="624" t="s">
        <v>2986</v>
      </c>
      <c r="B20" s="627" t="s">
        <v>3187</v>
      </c>
      <c r="C20" s="628" t="s">
        <v>2970</v>
      </c>
    </row>
    <row r="21" spans="1:3">
      <c r="A21" s="625" t="s">
        <v>3188</v>
      </c>
      <c r="B21" s="629" t="s">
        <v>3042</v>
      </c>
      <c r="C21" s="1228">
        <f>(B21/B11)</f>
        <v>1.2130940317730956E-2</v>
      </c>
    </row>
    <row r="22" spans="1:3">
      <c r="A22" s="626" t="s">
        <v>3189</v>
      </c>
      <c r="B22" s="633">
        <f>B11*C22</f>
        <v>129238044.11999999</v>
      </c>
      <c r="C22" s="1230">
        <v>1.2</v>
      </c>
    </row>
    <row r="23" spans="1:3" s="3" customFormat="1" ht="8.25"/>
    <row r="24" spans="1:3">
      <c r="A24" s="624" t="s">
        <v>3190</v>
      </c>
      <c r="B24" s="627" t="s">
        <v>3187</v>
      </c>
      <c r="C24" s="628" t="s">
        <v>2970</v>
      </c>
    </row>
    <row r="25" spans="1:3">
      <c r="A25" s="625" t="s">
        <v>3191</v>
      </c>
      <c r="B25" s="629">
        <v>0</v>
      </c>
      <c r="C25" s="630">
        <v>0</v>
      </c>
    </row>
    <row r="26" spans="1:3">
      <c r="A26" s="626" t="s">
        <v>3189</v>
      </c>
      <c r="B26" s="633">
        <f>B11*C26</f>
        <v>23693641.421999998</v>
      </c>
      <c r="C26" s="1232">
        <v>0.22</v>
      </c>
    </row>
    <row r="27" spans="1:3" s="3" customFormat="1" ht="8.25"/>
    <row r="28" spans="1:3">
      <c r="A28" s="624" t="s">
        <v>3192</v>
      </c>
      <c r="B28" s="627" t="s">
        <v>1917</v>
      </c>
      <c r="C28" s="628" t="s">
        <v>2970</v>
      </c>
    </row>
    <row r="29" spans="1:3" s="1" customFormat="1" ht="11.25">
      <c r="A29" s="625" t="s">
        <v>3193</v>
      </c>
      <c r="B29" s="629">
        <v>0</v>
      </c>
      <c r="C29" s="630">
        <v>0</v>
      </c>
    </row>
    <row r="30" spans="1:3" s="1" customFormat="1" ht="11.25">
      <c r="A30" s="491" t="s">
        <v>3194</v>
      </c>
      <c r="B30" s="1254">
        <f>B11*C30</f>
        <v>17231739.215999998</v>
      </c>
      <c r="C30" s="1231">
        <v>0.16</v>
      </c>
    </row>
    <row r="31" spans="1:3" s="1" customFormat="1" ht="11.25">
      <c r="A31" s="491" t="s">
        <v>3196</v>
      </c>
      <c r="B31" s="631">
        <v>0</v>
      </c>
      <c r="C31" s="632">
        <v>0</v>
      </c>
    </row>
    <row r="32" spans="1:3" s="1" customFormat="1" ht="11.25">
      <c r="A32" s="491" t="s">
        <v>3195</v>
      </c>
      <c r="B32" s="631">
        <v>0</v>
      </c>
      <c r="C32" s="632">
        <v>0</v>
      </c>
    </row>
    <row r="33" spans="1:3" s="1" customFormat="1" ht="11.25">
      <c r="A33" s="637" t="s">
        <v>3194</v>
      </c>
      <c r="B33" s="1254">
        <f>B11*C33</f>
        <v>7538885.9070000006</v>
      </c>
      <c r="C33" s="1231">
        <v>7.0000000000000007E-2</v>
      </c>
    </row>
    <row r="34" spans="1:3" s="1" customFormat="1" ht="11.25">
      <c r="A34" s="626" t="s">
        <v>3196</v>
      </c>
      <c r="B34" s="633">
        <v>0</v>
      </c>
      <c r="C34" s="651">
        <v>0</v>
      </c>
    </row>
    <row r="35" spans="1:3" s="1" customFormat="1" ht="11.25">
      <c r="A35" s="1259" t="s">
        <v>3201</v>
      </c>
    </row>
    <row r="36" spans="1:3" s="1" customFormat="1" ht="11.25">
      <c r="A36" s="1255"/>
      <c r="B36" s="1256"/>
    </row>
    <row r="37" spans="1:3" s="1257" customFormat="1" ht="9">
      <c r="A37" s="1258" t="s">
        <v>3521</v>
      </c>
    </row>
    <row r="38" spans="1:3" s="1" customFormat="1" ht="11.25">
      <c r="A38" s="1" t="s">
        <v>3520</v>
      </c>
    </row>
    <row r="39" spans="1:3" s="1" customFormat="1" ht="11.25">
      <c r="A39" s="1" t="s">
        <v>3203</v>
      </c>
    </row>
    <row r="40" spans="1:3" s="1" customFormat="1" ht="11.25">
      <c r="A40" s="1" t="s">
        <v>3519</v>
      </c>
    </row>
    <row r="41" spans="1:3" s="1257" customFormat="1" ht="9">
      <c r="A41" s="1257" t="s">
        <v>3522</v>
      </c>
    </row>
    <row r="42" spans="1:3" s="1" customFormat="1" ht="11.25"/>
    <row r="43" spans="1:3" s="1" customFormat="1" ht="11.25"/>
    <row r="44" spans="1:3" s="1" customFormat="1" ht="11.25"/>
    <row r="45" spans="1:3" s="1" customFormat="1" ht="11.25"/>
  </sheetData>
  <mergeCells count="9">
    <mergeCell ref="B10:C10"/>
    <mergeCell ref="B11:C11"/>
    <mergeCell ref="B12:C12"/>
    <mergeCell ref="A2:C2"/>
    <mergeCell ref="A3:C3"/>
    <mergeCell ref="A4:C4"/>
    <mergeCell ref="A5:C5"/>
    <mergeCell ref="A6:C6"/>
    <mergeCell ref="B9:C9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27</vt:i4>
      </vt:variant>
    </vt:vector>
  </HeadingPairs>
  <TitlesOfParts>
    <vt:vector size="27" baseType="lpstr">
      <vt:lpstr>RREO</vt:lpstr>
      <vt:lpstr>RCL</vt:lpstr>
      <vt:lpstr>DCLP</vt:lpstr>
      <vt:lpstr>DCLP_RCL</vt:lpstr>
      <vt:lpstr>AcompFAPS</vt:lpstr>
      <vt:lpstr>Cronogra</vt:lpstr>
      <vt:lpstr>Cruz</vt:lpstr>
      <vt:lpstr>Exec_Orç</vt:lpstr>
      <vt:lpstr>Míni</vt:lpstr>
      <vt:lpstr>DespSEDUC</vt:lpstr>
      <vt:lpstr>BalOrç_Out</vt:lpstr>
      <vt:lpstr>Emp</vt:lpstr>
      <vt:lpstr>Liquid</vt:lpstr>
      <vt:lpstr>Pgtos</vt:lpstr>
      <vt:lpstr>Funç</vt:lpstr>
      <vt:lpstr>RCL_Out_Sist</vt:lpstr>
      <vt:lpstr>RPPS</vt:lpstr>
      <vt:lpstr>Result</vt:lpstr>
      <vt:lpstr>Restos</vt:lpstr>
      <vt:lpstr>MDE</vt:lpstr>
      <vt:lpstr>Reg_Ouro</vt:lpstr>
      <vt:lpstr>AlienAplic</vt:lpstr>
      <vt:lpstr>ASPS</vt:lpstr>
      <vt:lpstr>RGF</vt:lpstr>
      <vt:lpstr>Dívida</vt:lpstr>
      <vt:lpstr>Disponib</vt:lpstr>
      <vt:lpstr>Limit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2021-11-22T14:14:28Z</cp:lastPrinted>
  <dcterms:created xsi:type="dcterms:W3CDTF">2021-06-02T17:39:55Z</dcterms:created>
  <dcterms:modified xsi:type="dcterms:W3CDTF">2021-11-25T13:22:01Z</dcterms:modified>
</cp:coreProperties>
</file>