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RREO_Jun_2021" sheetId="13" r:id="rId1"/>
    <sheet name="BalOrç" sheetId="17" r:id="rId2"/>
    <sheet name="SubFunç" sheetId="18" r:id="rId3"/>
    <sheet name="RPPS" sheetId="19" r:id="rId4"/>
    <sheet name="MDE" sheetId="20" r:id="rId5"/>
    <sheet name="Saúde" sheetId="21" r:id="rId6"/>
    <sheet name="Dívida" sheetId="22" r:id="rId7"/>
    <sheet name="RCL" sheetId="1" r:id="rId8"/>
    <sheet name="DCLP" sheetId="2" r:id="rId9"/>
    <sheet name="DCLP_RCL" sheetId="9" r:id="rId10"/>
    <sheet name="RGF" sheetId="16" r:id="rId11"/>
    <sheet name="AcompFAPS" sheetId="3" r:id="rId12"/>
    <sheet name="Exec_Orç" sheetId="4" r:id="rId13"/>
    <sheet name="DespSEDUC" sheetId="5" r:id="rId14"/>
    <sheet name="Míni" sheetId="6" r:id="rId15"/>
    <sheet name="Cronogra" sheetId="7" r:id="rId16"/>
    <sheet name="Cruz" sheetId="8" r:id="rId17"/>
    <sheet name="Emp" sheetId="11" r:id="rId18"/>
    <sheet name="Liquid" sheetId="10" r:id="rId19"/>
    <sheet name="Pgtos" sheetId="12" r:id="rId20"/>
    <sheet name="RAP" sheetId="14" r:id="rId21"/>
    <sheet name="Plan3" sheetId="15" r:id="rId22"/>
  </sheets>
  <externalReferences>
    <externalReference r:id="rId23"/>
    <externalReference r:id="rId24"/>
  </externalReferences>
  <calcPr calcId="125725"/>
</workbook>
</file>

<file path=xl/calcChain.xml><?xml version="1.0" encoding="utf-8"?>
<calcChain xmlns="http://schemas.openxmlformats.org/spreadsheetml/2006/main">
  <c r="J20" i="4"/>
  <c r="H20"/>
  <c r="B19" i="5"/>
  <c r="H12" l="1"/>
  <c r="E10" l="1"/>
  <c r="D10"/>
  <c r="C10"/>
  <c r="L29" i="3"/>
  <c r="K29"/>
  <c r="J29"/>
  <c r="J28"/>
  <c r="J31" s="1"/>
  <c r="K31" s="1"/>
  <c r="I29"/>
  <c r="J25"/>
  <c r="J20"/>
  <c r="J22" s="1"/>
  <c r="C21" i="16"/>
  <c r="B18"/>
  <c r="B17"/>
  <c r="B16"/>
  <c r="B15"/>
  <c r="C15"/>
  <c r="I35" i="6"/>
  <c r="J35"/>
  <c r="K35"/>
  <c r="D63" i="13"/>
  <c r="D71"/>
  <c r="D29"/>
  <c r="D28"/>
  <c r="D27"/>
  <c r="K19" i="4"/>
  <c r="I20"/>
  <c r="K11"/>
  <c r="K12"/>
  <c r="J4"/>
  <c r="I28" i="2"/>
  <c r="J28"/>
  <c r="I14"/>
  <c r="I10"/>
  <c r="I9"/>
  <c r="I6"/>
  <c r="I7"/>
  <c r="K28"/>
  <c r="L28"/>
  <c r="M28"/>
  <c r="N28"/>
  <c r="J9"/>
  <c r="K9"/>
  <c r="L9"/>
  <c r="M9"/>
  <c r="Q9"/>
  <c r="J10"/>
  <c r="K10"/>
  <c r="L10"/>
  <c r="M10"/>
  <c r="N10"/>
  <c r="R10"/>
  <c r="T10"/>
  <c r="J14"/>
  <c r="K14"/>
  <c r="L14"/>
  <c r="O14"/>
  <c r="P14"/>
  <c r="R14"/>
  <c r="S14"/>
  <c r="T14"/>
  <c r="O17"/>
  <c r="T17"/>
  <c r="O18"/>
  <c r="Q18"/>
  <c r="R18"/>
  <c r="T18"/>
  <c r="O19"/>
  <c r="P20"/>
  <c r="S20"/>
  <c r="P21"/>
  <c r="Q21"/>
  <c r="R21"/>
  <c r="S21"/>
  <c r="T21"/>
  <c r="O22"/>
  <c r="P22"/>
  <c r="R22"/>
  <c r="S22"/>
  <c r="T22"/>
  <c r="O23"/>
  <c r="P23"/>
  <c r="Q23"/>
  <c r="R23"/>
  <c r="S23"/>
  <c r="T23"/>
  <c r="J6"/>
  <c r="K6"/>
  <c r="M6"/>
  <c r="P6"/>
  <c r="T6"/>
  <c r="J7"/>
  <c r="E38" i="1"/>
  <c r="D24"/>
  <c r="D25"/>
  <c r="D18"/>
  <c r="D14"/>
  <c r="D13"/>
  <c r="D7"/>
  <c r="D6"/>
  <c r="G5"/>
  <c r="H5"/>
  <c r="H31" s="1"/>
  <c r="H33" s="1"/>
  <c r="H35" s="1"/>
  <c r="J5"/>
  <c r="L5"/>
  <c r="L31" s="1"/>
  <c r="L33" s="1"/>
  <c r="L35" s="1"/>
  <c r="N5"/>
  <c r="F6"/>
  <c r="F5" s="1"/>
  <c r="F31" s="1"/>
  <c r="F33" s="1"/>
  <c r="F35" s="1"/>
  <c r="H6"/>
  <c r="I6"/>
  <c r="I5" s="1"/>
  <c r="I31" s="1"/>
  <c r="I33" s="1"/>
  <c r="I35" s="1"/>
  <c r="J6"/>
  <c r="K6"/>
  <c r="K5" s="1"/>
  <c r="K31" s="1"/>
  <c r="K33" s="1"/>
  <c r="K35" s="1"/>
  <c r="L6"/>
  <c r="M6"/>
  <c r="M5" s="1"/>
  <c r="M31" s="1"/>
  <c r="M33" s="1"/>
  <c r="M35" s="1"/>
  <c r="O6"/>
  <c r="O5" s="1"/>
  <c r="E7"/>
  <c r="E5" s="1"/>
  <c r="E31" s="1"/>
  <c r="E33" s="1"/>
  <c r="E35" s="1"/>
  <c r="L9"/>
  <c r="L8" s="1"/>
  <c r="N9"/>
  <c r="O9"/>
  <c r="O8" s="1"/>
  <c r="L10"/>
  <c r="N10"/>
  <c r="N8" s="1"/>
  <c r="O10"/>
  <c r="E13"/>
  <c r="E8" s="1"/>
  <c r="F13"/>
  <c r="G13"/>
  <c r="G8" s="1"/>
  <c r="G31" s="1"/>
  <c r="G33" s="1"/>
  <c r="G35" s="1"/>
  <c r="H13"/>
  <c r="I13"/>
  <c r="I8" s="1"/>
  <c r="J13"/>
  <c r="K13"/>
  <c r="K8" s="1"/>
  <c r="L13"/>
  <c r="M13"/>
  <c r="M8" s="1"/>
  <c r="N13"/>
  <c r="O13"/>
  <c r="E14"/>
  <c r="F14"/>
  <c r="F8" s="1"/>
  <c r="G14"/>
  <c r="H14"/>
  <c r="H8" s="1"/>
  <c r="I14"/>
  <c r="J14"/>
  <c r="J8" s="1"/>
  <c r="K14"/>
  <c r="L14"/>
  <c r="M14"/>
  <c r="N14"/>
  <c r="O14"/>
  <c r="E16"/>
  <c r="K16"/>
  <c r="L16"/>
  <c r="M16"/>
  <c r="N16"/>
  <c r="E18"/>
  <c r="F18"/>
  <c r="G18"/>
  <c r="H18"/>
  <c r="I18"/>
  <c r="K18"/>
  <c r="L18"/>
  <c r="M18"/>
  <c r="N18"/>
  <c r="F19"/>
  <c r="G19"/>
  <c r="J19"/>
  <c r="L19"/>
  <c r="E24"/>
  <c r="F24"/>
  <c r="I24"/>
  <c r="M24"/>
  <c r="E25"/>
  <c r="F25"/>
  <c r="G25"/>
  <c r="H25"/>
  <c r="I25"/>
  <c r="K25"/>
  <c r="L25"/>
  <c r="M25"/>
  <c r="N25"/>
  <c r="O25"/>
  <c r="O34"/>
  <c r="J25" i="6"/>
  <c r="K34"/>
  <c r="I34"/>
  <c r="J24"/>
  <c r="B26"/>
  <c r="L19"/>
  <c r="L18"/>
  <c r="L17"/>
  <c r="L15"/>
  <c r="L14"/>
  <c r="L13"/>
  <c r="L12"/>
  <c r="L11"/>
  <c r="L10"/>
  <c r="L9"/>
  <c r="L8"/>
  <c r="J19"/>
  <c r="J18"/>
  <c r="J17"/>
  <c r="J15"/>
  <c r="J12"/>
  <c r="H19"/>
  <c r="H18"/>
  <c r="H17"/>
  <c r="H15"/>
  <c r="H14"/>
  <c r="H13"/>
  <c r="H12"/>
  <c r="H11"/>
  <c r="H10"/>
  <c r="H9"/>
  <c r="H8"/>
  <c r="F17"/>
  <c r="F16"/>
  <c r="F14"/>
  <c r="F13"/>
  <c r="I20"/>
  <c r="F19"/>
  <c r="F18"/>
  <c r="F15"/>
  <c r="F12"/>
  <c r="F11"/>
  <c r="F10"/>
  <c r="F9"/>
  <c r="F8"/>
  <c r="D19"/>
  <c r="C19"/>
  <c r="C18"/>
  <c r="D18"/>
  <c r="C17"/>
  <c r="D17"/>
  <c r="C16"/>
  <c r="C15"/>
  <c r="D15"/>
  <c r="C12"/>
  <c r="D12"/>
  <c r="D34"/>
  <c r="B34"/>
  <c r="C34"/>
  <c r="D20"/>
  <c r="L19" i="4"/>
  <c r="H19"/>
  <c r="I19"/>
  <c r="J19"/>
  <c r="K20"/>
  <c r="L17"/>
  <c r="K16"/>
  <c r="L16"/>
  <c r="J16"/>
  <c r="L14"/>
  <c r="K13"/>
  <c r="J13"/>
  <c r="L13"/>
  <c r="I13"/>
  <c r="H13"/>
  <c r="L12"/>
  <c r="J12"/>
  <c r="H12"/>
  <c r="L11"/>
  <c r="H11"/>
  <c r="L9"/>
  <c r="I8"/>
  <c r="I7"/>
  <c r="J7"/>
  <c r="K6"/>
  <c r="L6"/>
  <c r="J6"/>
  <c r="J59" i="7"/>
  <c r="J57"/>
  <c r="J55"/>
  <c r="J91"/>
  <c r="H91"/>
  <c r="J90"/>
  <c r="H26" i="8"/>
  <c r="H25"/>
  <c r="H16"/>
  <c r="AE68" i="7"/>
  <c r="AE66"/>
  <c r="X85"/>
  <c r="D26" i="4"/>
  <c r="D25"/>
  <c r="D24"/>
  <c r="G24" s="1"/>
  <c r="F20"/>
  <c r="F4"/>
  <c r="H54" i="7"/>
  <c r="D20" i="4"/>
  <c r="I29" i="8"/>
  <c r="F12"/>
  <c r="F13"/>
  <c r="F14"/>
  <c r="F15"/>
  <c r="F16"/>
  <c r="F17"/>
  <c r="F18"/>
  <c r="F19"/>
  <c r="F20"/>
  <c r="F21"/>
  <c r="F22"/>
  <c r="F23"/>
  <c r="F24"/>
  <c r="F25"/>
  <c r="F26"/>
  <c r="F11"/>
  <c r="J58" i="7"/>
  <c r="F91"/>
  <c r="B92"/>
  <c r="E26" i="5"/>
  <c r="C26"/>
  <c r="D26"/>
  <c r="O31" i="1" l="1"/>
  <c r="O33" s="1"/>
  <c r="O35" s="1"/>
  <c r="N31"/>
  <c r="N33" s="1"/>
  <c r="N35" s="1"/>
  <c r="J31"/>
  <c r="J33" s="1"/>
  <c r="J35" s="1"/>
  <c r="G27" i="6"/>
  <c r="B26" i="5"/>
  <c r="B12"/>
  <c r="B10"/>
  <c r="L5" i="4"/>
  <c r="K5"/>
  <c r="F24"/>
  <c r="W61" i="7"/>
  <c r="W59"/>
  <c r="W58"/>
  <c r="W57"/>
  <c r="H29" i="3"/>
  <c r="I16"/>
  <c r="I15"/>
  <c r="K15" s="1"/>
  <c r="L15" s="1"/>
  <c r="I25"/>
  <c r="I31"/>
  <c r="K19"/>
  <c r="L19" s="1"/>
  <c r="I18"/>
  <c r="K18" s="1"/>
  <c r="L18" s="1"/>
  <c r="L30" i="2"/>
  <c r="M8"/>
  <c r="J8"/>
  <c r="L8"/>
  <c r="K8"/>
  <c r="J27"/>
  <c r="K27"/>
  <c r="L27"/>
  <c r="M27"/>
  <c r="N27"/>
  <c r="O27"/>
  <c r="P27"/>
  <c r="Q27"/>
  <c r="R27"/>
  <c r="S27"/>
  <c r="T27"/>
  <c r="K30"/>
  <c r="J30"/>
  <c r="M30"/>
  <c r="N30"/>
  <c r="O30"/>
  <c r="P30"/>
  <c r="Q30"/>
  <c r="R30"/>
  <c r="S30"/>
  <c r="T30"/>
  <c r="B40" i="5"/>
  <c r="C40" s="1"/>
  <c r="O13" i="7"/>
  <c r="I49" i="2"/>
  <c r="I8"/>
  <c r="I5"/>
  <c r="H6"/>
  <c r="H16"/>
  <c r="H17"/>
  <c r="H18"/>
  <c r="H19"/>
  <c r="H20"/>
  <c r="H21"/>
  <c r="H22"/>
  <c r="J5"/>
  <c r="J24" s="1"/>
  <c r="K5"/>
  <c r="L5"/>
  <c r="L24" s="1"/>
  <c r="M5"/>
  <c r="O5"/>
  <c r="P5"/>
  <c r="T5"/>
  <c r="S5"/>
  <c r="R5"/>
  <c r="Q5"/>
  <c r="N5"/>
  <c r="C10" i="1"/>
  <c r="C9"/>
  <c r="C14"/>
  <c r="C13"/>
  <c r="C4"/>
  <c r="J36" i="8"/>
  <c r="F27"/>
  <c r="G24"/>
  <c r="AD119" i="7"/>
  <c r="AC119"/>
  <c r="AD126" s="1"/>
  <c r="AB119"/>
  <c r="AA119"/>
  <c r="Z119"/>
  <c r="Y119"/>
  <c r="Z126" s="1"/>
  <c r="X119"/>
  <c r="W119"/>
  <c r="T119"/>
  <c r="S119"/>
  <c r="AE94"/>
  <c r="AD94"/>
  <c r="AC94"/>
  <c r="AB94"/>
  <c r="AA94"/>
  <c r="Z94"/>
  <c r="Y94"/>
  <c r="X94"/>
  <c r="W94"/>
  <c r="V94"/>
  <c r="U94"/>
  <c r="T94"/>
  <c r="S94"/>
  <c r="O90"/>
  <c r="N90"/>
  <c r="O92" s="1"/>
  <c r="M90"/>
  <c r="N92" s="1"/>
  <c r="L90"/>
  <c r="M92" s="1"/>
  <c r="K90"/>
  <c r="L92" s="1"/>
  <c r="H90"/>
  <c r="F90"/>
  <c r="E90"/>
  <c r="D90"/>
  <c r="B90"/>
  <c r="A90"/>
  <c r="B91" s="1"/>
  <c r="AD89"/>
  <c r="AC89"/>
  <c r="AD99" s="1"/>
  <c r="AB89"/>
  <c r="AA89"/>
  <c r="Z89"/>
  <c r="Y89"/>
  <c r="Z99" s="1"/>
  <c r="X89"/>
  <c r="W89"/>
  <c r="T89"/>
  <c r="S89"/>
  <c r="R89"/>
  <c r="Q89"/>
  <c r="S85"/>
  <c r="R81"/>
  <c r="Q81"/>
  <c r="AE78"/>
  <c r="AD78"/>
  <c r="AC78"/>
  <c r="AB78"/>
  <c r="AA78"/>
  <c r="Z78"/>
  <c r="Y78"/>
  <c r="X78"/>
  <c r="W78"/>
  <c r="V78"/>
  <c r="U78"/>
  <c r="T78"/>
  <c r="S78"/>
  <c r="V72"/>
  <c r="U72"/>
  <c r="AE72" s="1"/>
  <c r="S72"/>
  <c r="AE63"/>
  <c r="AE62"/>
  <c r="V61"/>
  <c r="U61"/>
  <c r="AE61" s="1"/>
  <c r="AD60"/>
  <c r="AC60"/>
  <c r="AB60"/>
  <c r="AA60"/>
  <c r="Z60"/>
  <c r="Y60"/>
  <c r="X60"/>
  <c r="W60"/>
  <c r="V60"/>
  <c r="U60"/>
  <c r="T60"/>
  <c r="S60"/>
  <c r="V59"/>
  <c r="U59"/>
  <c r="AE59" s="1"/>
  <c r="V58"/>
  <c r="AE58" s="1"/>
  <c r="V57"/>
  <c r="U57"/>
  <c r="AE57" s="1"/>
  <c r="AD56"/>
  <c r="AD71" s="1"/>
  <c r="AC56"/>
  <c r="AC71" s="1"/>
  <c r="AB56"/>
  <c r="AB71" s="1"/>
  <c r="AA56"/>
  <c r="AA71" s="1"/>
  <c r="Z56"/>
  <c r="Z71" s="1"/>
  <c r="Y56"/>
  <c r="Y71" s="1"/>
  <c r="X56"/>
  <c r="X71" s="1"/>
  <c r="W56"/>
  <c r="W71" s="1"/>
  <c r="V56"/>
  <c r="V71" s="1"/>
  <c r="V73" s="1"/>
  <c r="U56"/>
  <c r="U71" s="1"/>
  <c r="U73" s="1"/>
  <c r="T56"/>
  <c r="T71" s="1"/>
  <c r="T73" s="1"/>
  <c r="S56"/>
  <c r="S71" s="1"/>
  <c r="L52"/>
  <c r="L51"/>
  <c r="L50"/>
  <c r="L49"/>
  <c r="L48"/>
  <c r="L47"/>
  <c r="L46"/>
  <c r="L45"/>
  <c r="H44"/>
  <c r="D44"/>
  <c r="L44" s="1"/>
  <c r="D43"/>
  <c r="L42"/>
  <c r="J42"/>
  <c r="F42"/>
  <c r="L41"/>
  <c r="J41"/>
  <c r="F41"/>
  <c r="AD40"/>
  <c r="AD87" s="1"/>
  <c r="AC40"/>
  <c r="AC87" s="1"/>
  <c r="AB40"/>
  <c r="AB87" s="1"/>
  <c r="AA40"/>
  <c r="AA87" s="1"/>
  <c r="Z40"/>
  <c r="Z87" s="1"/>
  <c r="Y40"/>
  <c r="Y87" s="1"/>
  <c r="X40"/>
  <c r="X87" s="1"/>
  <c r="W40"/>
  <c r="W87" s="1"/>
  <c r="T40"/>
  <c r="T87" s="1"/>
  <c r="S40"/>
  <c r="S87" s="1"/>
  <c r="V39"/>
  <c r="U39"/>
  <c r="AE39" s="1"/>
  <c r="G26" i="8" s="1"/>
  <c r="V38" i="7"/>
  <c r="U38"/>
  <c r="AE38" s="1"/>
  <c r="G25" i="8" s="1"/>
  <c r="AE37" i="7"/>
  <c r="V36"/>
  <c r="U36"/>
  <c r="AE36" s="1"/>
  <c r="G23" i="8" s="1"/>
  <c r="V35" i="7"/>
  <c r="U35"/>
  <c r="AE35" s="1"/>
  <c r="G22" i="8" s="1"/>
  <c r="V34" i="7"/>
  <c r="U34"/>
  <c r="AE34" s="1"/>
  <c r="G21" i="8" s="1"/>
  <c r="B34" i="7"/>
  <c r="C34" s="1"/>
  <c r="V33"/>
  <c r="V89" s="1"/>
  <c r="U33"/>
  <c r="U89" s="1"/>
  <c r="L33"/>
  <c r="J52" s="1"/>
  <c r="H33"/>
  <c r="C33"/>
  <c r="V32"/>
  <c r="V119" s="1"/>
  <c r="U32"/>
  <c r="U119" s="1"/>
  <c r="J32"/>
  <c r="C32"/>
  <c r="AE31"/>
  <c r="G18" i="8" s="1"/>
  <c r="V31" i="7"/>
  <c r="H31"/>
  <c r="C31"/>
  <c r="V30"/>
  <c r="U30"/>
  <c r="AE30" s="1"/>
  <c r="G17" i="8" s="1"/>
  <c r="J30" i="7"/>
  <c r="H30"/>
  <c r="D30"/>
  <c r="L30" s="1"/>
  <c r="C30"/>
  <c r="V29"/>
  <c r="U29"/>
  <c r="AE29" s="1"/>
  <c r="G16" i="8" s="1"/>
  <c r="J29" i="7"/>
  <c r="F29"/>
  <c r="C29"/>
  <c r="AE28"/>
  <c r="G15" i="8" s="1"/>
  <c r="V28" i="7"/>
  <c r="F28"/>
  <c r="C28"/>
  <c r="V27"/>
  <c r="U27"/>
  <c r="U40" s="1"/>
  <c r="J27"/>
  <c r="C27"/>
  <c r="V26"/>
  <c r="AE26" s="1"/>
  <c r="G13" i="8" s="1"/>
  <c r="J26" i="7"/>
  <c r="K26" s="1"/>
  <c r="H26"/>
  <c r="C26"/>
  <c r="V25"/>
  <c r="AE25" s="1"/>
  <c r="G12" i="8" s="1"/>
  <c r="J25" i="7"/>
  <c r="D25"/>
  <c r="C25"/>
  <c r="V24"/>
  <c r="V40" s="1"/>
  <c r="L24"/>
  <c r="H24"/>
  <c r="C24"/>
  <c r="J23"/>
  <c r="F23"/>
  <c r="F34" s="1"/>
  <c r="C23"/>
  <c r="N22"/>
  <c r="K22"/>
  <c r="J22"/>
  <c r="J34" s="1"/>
  <c r="K34" s="1"/>
  <c r="C22"/>
  <c r="O21"/>
  <c r="N21"/>
  <c r="L21"/>
  <c r="J21"/>
  <c r="H21"/>
  <c r="F21"/>
  <c r="D21"/>
  <c r="B21"/>
  <c r="L16"/>
  <c r="F52" s="1"/>
  <c r="H16"/>
  <c r="B16"/>
  <c r="J15"/>
  <c r="H14"/>
  <c r="F14"/>
  <c r="J13"/>
  <c r="H13"/>
  <c r="F13"/>
  <c r="J12"/>
  <c r="D12"/>
  <c r="J11"/>
  <c r="J10"/>
  <c r="H10"/>
  <c r="F10"/>
  <c r="J9"/>
  <c r="H9"/>
  <c r="F9"/>
  <c r="N9" s="1"/>
  <c r="D9"/>
  <c r="L9" s="1"/>
  <c r="J8"/>
  <c r="H8"/>
  <c r="D7"/>
  <c r="L7" s="1"/>
  <c r="J6"/>
  <c r="H6"/>
  <c r="F6"/>
  <c r="N6" s="1"/>
  <c r="N5"/>
  <c r="O5" s="1"/>
  <c r="B5"/>
  <c r="B17" s="1"/>
  <c r="AD4"/>
  <c r="AC4"/>
  <c r="AB4"/>
  <c r="AA4"/>
  <c r="Z4"/>
  <c r="Y4"/>
  <c r="X4"/>
  <c r="W4"/>
  <c r="V4"/>
  <c r="U4"/>
  <c r="T4"/>
  <c r="S4"/>
  <c r="AE4" s="1"/>
  <c r="I37" i="6"/>
  <c r="L35"/>
  <c r="L34"/>
  <c r="E34"/>
  <c r="K38"/>
  <c r="K39" s="1"/>
  <c r="J33"/>
  <c r="I33"/>
  <c r="D33"/>
  <c r="C33"/>
  <c r="B33"/>
  <c r="D32"/>
  <c r="C32"/>
  <c r="B32"/>
  <c r="K27"/>
  <c r="K28" s="1"/>
  <c r="J26"/>
  <c r="L26" s="1"/>
  <c r="L25"/>
  <c r="G26"/>
  <c r="L24"/>
  <c r="G25"/>
  <c r="L23"/>
  <c r="J23"/>
  <c r="J27" s="1"/>
  <c r="J28" s="1"/>
  <c r="C20"/>
  <c r="E16"/>
  <c r="K15"/>
  <c r="I15"/>
  <c r="G15"/>
  <c r="E15"/>
  <c r="K14"/>
  <c r="G14"/>
  <c r="E14"/>
  <c r="C14"/>
  <c r="K13"/>
  <c r="G13"/>
  <c r="E13"/>
  <c r="C13"/>
  <c r="K12"/>
  <c r="I12"/>
  <c r="G12"/>
  <c r="E12"/>
  <c r="C21"/>
  <c r="K11"/>
  <c r="G11"/>
  <c r="E11"/>
  <c r="K10"/>
  <c r="G10"/>
  <c r="E10"/>
  <c r="K8"/>
  <c r="G8"/>
  <c r="E8"/>
  <c r="D31"/>
  <c r="B37" i="5"/>
  <c r="C34" s="1"/>
  <c r="E36"/>
  <c r="C36"/>
  <c r="E35"/>
  <c r="C35"/>
  <c r="E34"/>
  <c r="E33"/>
  <c r="C33"/>
  <c r="E32"/>
  <c r="K26"/>
  <c r="K33" s="1"/>
  <c r="J26"/>
  <c r="J33" s="1"/>
  <c r="I26"/>
  <c r="I33" s="1"/>
  <c r="H26"/>
  <c r="L24"/>
  <c r="L23"/>
  <c r="F23"/>
  <c r="L22"/>
  <c r="F22"/>
  <c r="L21"/>
  <c r="F21"/>
  <c r="L20"/>
  <c r="F20"/>
  <c r="L19"/>
  <c r="F19"/>
  <c r="K15"/>
  <c r="J15"/>
  <c r="J17" s="1"/>
  <c r="G41" s="1"/>
  <c r="I15"/>
  <c r="H15"/>
  <c r="E15"/>
  <c r="K32" s="1"/>
  <c r="D15"/>
  <c r="J32" s="1"/>
  <c r="C15"/>
  <c r="I32" s="1"/>
  <c r="L14"/>
  <c r="F14"/>
  <c r="L13"/>
  <c r="F13"/>
  <c r="L12"/>
  <c r="F12"/>
  <c r="L11"/>
  <c r="F11"/>
  <c r="L10"/>
  <c r="L15" s="1"/>
  <c r="F10"/>
  <c r="F15" s="1"/>
  <c r="F25" i="4"/>
  <c r="G25" s="1"/>
  <c r="K18"/>
  <c r="J18"/>
  <c r="F26"/>
  <c r="G26" s="1"/>
  <c r="D18"/>
  <c r="K17"/>
  <c r="J17"/>
  <c r="D17"/>
  <c r="K15"/>
  <c r="L15" s="1"/>
  <c r="J15"/>
  <c r="K14"/>
  <c r="J14"/>
  <c r="J11"/>
  <c r="K10"/>
  <c r="L10" s="1"/>
  <c r="J10"/>
  <c r="K9"/>
  <c r="K8"/>
  <c r="L8" s="1"/>
  <c r="J8"/>
  <c r="K7"/>
  <c r="L7" s="1"/>
  <c r="J5"/>
  <c r="K4"/>
  <c r="L57" i="7"/>
  <c r="H31" i="3"/>
  <c r="F31"/>
  <c r="G29"/>
  <c r="F29"/>
  <c r="G25"/>
  <c r="G31" s="1"/>
  <c r="E25"/>
  <c r="K25" s="1"/>
  <c r="H20"/>
  <c r="H22" s="1"/>
  <c r="G20"/>
  <c r="F20"/>
  <c r="F22" s="1"/>
  <c r="E20"/>
  <c r="E22" s="1"/>
  <c r="G16"/>
  <c r="K16" s="1"/>
  <c r="L16" s="1"/>
  <c r="D5" i="1"/>
  <c r="H15" i="2"/>
  <c r="I27"/>
  <c r="J49"/>
  <c r="K49"/>
  <c r="L49"/>
  <c r="M49"/>
  <c r="N49"/>
  <c r="O49"/>
  <c r="P49"/>
  <c r="Q49"/>
  <c r="R49"/>
  <c r="S49"/>
  <c r="T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26"/>
  <c r="H25"/>
  <c r="H13"/>
  <c r="H12"/>
  <c r="H11"/>
  <c r="H10"/>
  <c r="H9"/>
  <c r="H7"/>
  <c r="J3"/>
  <c r="E4" i="9" s="1"/>
  <c r="K3" i="2"/>
  <c r="F4" i="9" s="1"/>
  <c r="L3" i="2"/>
  <c r="G4" i="9" s="1"/>
  <c r="M3" i="2"/>
  <c r="H4" i="9" s="1"/>
  <c r="N3" i="2"/>
  <c r="I4" i="9" s="1"/>
  <c r="O3" i="2"/>
  <c r="J4" i="9" s="1"/>
  <c r="P3" i="2"/>
  <c r="K4" i="9" s="1"/>
  <c r="Q3" i="2"/>
  <c r="L4" i="9" s="1"/>
  <c r="R3" i="2"/>
  <c r="M4" i="9" s="1"/>
  <c r="S3" i="2"/>
  <c r="N4" i="9" s="1"/>
  <c r="T3" i="2"/>
  <c r="O4" i="9" s="1"/>
  <c r="I3" i="2"/>
  <c r="D4" i="9" s="1"/>
  <c r="C6" i="1"/>
  <c r="C7"/>
  <c r="C15"/>
  <c r="C16"/>
  <c r="C17"/>
  <c r="C18"/>
  <c r="C19"/>
  <c r="C20"/>
  <c r="C22"/>
  <c r="C23"/>
  <c r="C24"/>
  <c r="C25"/>
  <c r="C26"/>
  <c r="C27"/>
  <c r="C28"/>
  <c r="C29"/>
  <c r="C30"/>
  <c r="C32"/>
  <c r="C34"/>
  <c r="C36"/>
  <c r="F26" i="5" l="1"/>
  <c r="L26"/>
  <c r="D17"/>
  <c r="G22" i="3"/>
  <c r="I20"/>
  <c r="I22" s="1"/>
  <c r="E31"/>
  <c r="M24" i="2"/>
  <c r="G23" i="6"/>
  <c r="D19" i="4"/>
  <c r="E18"/>
  <c r="E17"/>
  <c r="E16"/>
  <c r="G16" s="1"/>
  <c r="E15"/>
  <c r="G15" s="1"/>
  <c r="E14"/>
  <c r="G14" s="1"/>
  <c r="E11"/>
  <c r="G11" s="1"/>
  <c r="E10"/>
  <c r="G10" s="1"/>
  <c r="E9"/>
  <c r="G9" s="1"/>
  <c r="E8"/>
  <c r="G8" s="1"/>
  <c r="E6"/>
  <c r="G6" s="1"/>
  <c r="E5"/>
  <c r="K34" i="5"/>
  <c r="I34"/>
  <c r="D28"/>
  <c r="C41"/>
  <c r="E37"/>
  <c r="K17" s="1"/>
  <c r="H41" s="1"/>
  <c r="L27" i="6"/>
  <c r="L28" s="1"/>
  <c r="I38"/>
  <c r="I39" s="1"/>
  <c r="E33"/>
  <c r="E32"/>
  <c r="K22" i="3"/>
  <c r="K20"/>
  <c r="N8" i="2"/>
  <c r="N24" s="1"/>
  <c r="N50" s="1"/>
  <c r="I6" i="9" s="1"/>
  <c r="P8" i="2"/>
  <c r="P24" s="1"/>
  <c r="P50" s="1"/>
  <c r="K6" i="9" s="1"/>
  <c r="S8" i="2"/>
  <c r="S24" s="1"/>
  <c r="S50" s="1"/>
  <c r="N6" i="9" s="1"/>
  <c r="R8" i="2"/>
  <c r="R24" s="1"/>
  <c r="R50" s="1"/>
  <c r="M6" i="9" s="1"/>
  <c r="O8" i="2"/>
  <c r="O24" s="1"/>
  <c r="T8"/>
  <c r="T24" s="1"/>
  <c r="T50" s="1"/>
  <c r="O6" i="9" s="1"/>
  <c r="Q8" i="2"/>
  <c r="Q24" s="1"/>
  <c r="Q50" s="1"/>
  <c r="L6" i="9" s="1"/>
  <c r="K24" i="2"/>
  <c r="H5"/>
  <c r="K37" i="1"/>
  <c r="K7" i="9" s="1"/>
  <c r="G37" i="1"/>
  <c r="G7" i="9" s="1"/>
  <c r="I27" i="8"/>
  <c r="J13"/>
  <c r="K13" s="1"/>
  <c r="J37" i="1"/>
  <c r="J7" i="9" s="1"/>
  <c r="D8" i="1"/>
  <c r="D31" s="1"/>
  <c r="D33" s="1"/>
  <c r="H29" i="2"/>
  <c r="I30"/>
  <c r="H30" s="1"/>
  <c r="H28"/>
  <c r="H14"/>
  <c r="F37" i="1"/>
  <c r="F7" i="9" s="1"/>
  <c r="H37" i="1"/>
  <c r="H7" i="9" s="1"/>
  <c r="L37" i="1"/>
  <c r="L7" i="9" s="1"/>
  <c r="I37" i="1"/>
  <c r="I7" i="9" s="1"/>
  <c r="N37" i="1"/>
  <c r="N7" i="9" s="1"/>
  <c r="M37" i="1"/>
  <c r="M7" i="9" s="1"/>
  <c r="E37" i="1"/>
  <c r="E7" i="9" s="1"/>
  <c r="H27" i="8"/>
  <c r="O37" i="1"/>
  <c r="O7" i="9" s="1"/>
  <c r="C5" i="1"/>
  <c r="J16" i="8"/>
  <c r="K16" s="1"/>
  <c r="J18"/>
  <c r="K18" s="1"/>
  <c r="J26"/>
  <c r="K26" s="1"/>
  <c r="J17"/>
  <c r="K17" s="1"/>
  <c r="J21"/>
  <c r="K21" s="1"/>
  <c r="J23"/>
  <c r="K23" s="1"/>
  <c r="J25"/>
  <c r="K25" s="1"/>
  <c r="J22"/>
  <c r="K22" s="1"/>
  <c r="J24"/>
  <c r="K24" s="1"/>
  <c r="J12"/>
  <c r="K12" s="1"/>
  <c r="J15"/>
  <c r="K15" s="1"/>
  <c r="B36" i="7"/>
  <c r="C17"/>
  <c r="C15"/>
  <c r="C12"/>
  <c r="C11"/>
  <c r="C10"/>
  <c r="C8"/>
  <c r="C7"/>
  <c r="C16"/>
  <c r="C14"/>
  <c r="C13"/>
  <c r="C9"/>
  <c r="C6"/>
  <c r="C5"/>
  <c r="F45"/>
  <c r="O9"/>
  <c r="G34"/>
  <c r="G31"/>
  <c r="G27"/>
  <c r="G26"/>
  <c r="G22"/>
  <c r="G33"/>
  <c r="G32"/>
  <c r="G30"/>
  <c r="G28"/>
  <c r="G25"/>
  <c r="G24"/>
  <c r="J49"/>
  <c r="N10"/>
  <c r="I14"/>
  <c r="N31"/>
  <c r="N7"/>
  <c r="O7"/>
  <c r="N30"/>
  <c r="O30" s="1"/>
  <c r="J43"/>
  <c r="V87"/>
  <c r="V41"/>
  <c r="V126"/>
  <c r="V99"/>
  <c r="AE60"/>
  <c r="O6"/>
  <c r="L8"/>
  <c r="N8"/>
  <c r="L12"/>
  <c r="N12"/>
  <c r="O12" s="1"/>
  <c r="L13"/>
  <c r="N13"/>
  <c r="N16"/>
  <c r="O16" s="1"/>
  <c r="D17"/>
  <c r="F17"/>
  <c r="H17"/>
  <c r="J17"/>
  <c r="K23"/>
  <c r="N23"/>
  <c r="O23" s="1"/>
  <c r="N24"/>
  <c r="O24" s="1"/>
  <c r="L25"/>
  <c r="N25"/>
  <c r="L26"/>
  <c r="N26"/>
  <c r="K27"/>
  <c r="K28"/>
  <c r="K29"/>
  <c r="K30"/>
  <c r="K31"/>
  <c r="O31"/>
  <c r="L32"/>
  <c r="N32"/>
  <c r="O32" s="1"/>
  <c r="AE32"/>
  <c r="N33"/>
  <c r="O33" s="1"/>
  <c r="AE33"/>
  <c r="D34"/>
  <c r="H34"/>
  <c r="F43"/>
  <c r="T120"/>
  <c r="X120"/>
  <c r="Z120"/>
  <c r="AB120"/>
  <c r="AD120"/>
  <c r="U87"/>
  <c r="U90" s="1"/>
  <c r="U41"/>
  <c r="V120"/>
  <c r="V90"/>
  <c r="S73"/>
  <c r="AE71"/>
  <c r="AE56"/>
  <c r="G6"/>
  <c r="E7"/>
  <c r="I8"/>
  <c r="L10"/>
  <c r="L11"/>
  <c r="I13"/>
  <c r="L14"/>
  <c r="L15"/>
  <c r="O22"/>
  <c r="G23"/>
  <c r="K24"/>
  <c r="AE24"/>
  <c r="K25"/>
  <c r="I26"/>
  <c r="L27"/>
  <c r="AE27"/>
  <c r="L28"/>
  <c r="G29"/>
  <c r="L29"/>
  <c r="I31"/>
  <c r="L31"/>
  <c r="K32"/>
  <c r="K33"/>
  <c r="AE73"/>
  <c r="T90"/>
  <c r="X90"/>
  <c r="Z90"/>
  <c r="AB90"/>
  <c r="AD90"/>
  <c r="T41"/>
  <c r="X41"/>
  <c r="Z41"/>
  <c r="AB41"/>
  <c r="AD41"/>
  <c r="L43"/>
  <c r="L53" s="1"/>
  <c r="J44"/>
  <c r="D53"/>
  <c r="D54" s="1"/>
  <c r="S64"/>
  <c r="S65" s="1"/>
  <c r="U64"/>
  <c r="U65" s="1"/>
  <c r="W64"/>
  <c r="W65" s="1"/>
  <c r="Y64"/>
  <c r="Y65" s="1"/>
  <c r="AA64"/>
  <c r="AA65" s="1"/>
  <c r="AC64"/>
  <c r="AC65" s="1"/>
  <c r="S90"/>
  <c r="W90"/>
  <c r="Y90"/>
  <c r="AA90"/>
  <c r="AC90"/>
  <c r="D91"/>
  <c r="T99"/>
  <c r="X99"/>
  <c r="AB99"/>
  <c r="S120"/>
  <c r="W120"/>
  <c r="Y120"/>
  <c r="AA120"/>
  <c r="AC120"/>
  <c r="T126"/>
  <c r="X126"/>
  <c r="AB126"/>
  <c r="S41"/>
  <c r="W41"/>
  <c r="Y41"/>
  <c r="AA41"/>
  <c r="AC41"/>
  <c r="F44"/>
  <c r="H53"/>
  <c r="T64"/>
  <c r="T65" s="1"/>
  <c r="V64"/>
  <c r="V65" s="1"/>
  <c r="X64"/>
  <c r="X65" s="1"/>
  <c r="Z64"/>
  <c r="Z65" s="1"/>
  <c r="AB64"/>
  <c r="AB65" s="1"/>
  <c r="AD64"/>
  <c r="AD65" s="1"/>
  <c r="C90"/>
  <c r="E91"/>
  <c r="AE119"/>
  <c r="W122" s="1"/>
  <c r="E9" i="6"/>
  <c r="G9"/>
  <c r="K9"/>
  <c r="E17"/>
  <c r="G17"/>
  <c r="I17"/>
  <c r="K17"/>
  <c r="E18"/>
  <c r="G18"/>
  <c r="I18"/>
  <c r="K18"/>
  <c r="E19"/>
  <c r="G19"/>
  <c r="I19"/>
  <c r="K19"/>
  <c r="D21"/>
  <c r="D22" s="1"/>
  <c r="D23"/>
  <c r="C29"/>
  <c r="B30"/>
  <c r="D30"/>
  <c r="C31"/>
  <c r="J37"/>
  <c r="B29"/>
  <c r="D29"/>
  <c r="C30"/>
  <c r="B31"/>
  <c r="L33"/>
  <c r="J34" i="5"/>
  <c r="D33" s="1"/>
  <c r="F33" s="1"/>
  <c r="B15"/>
  <c r="C32"/>
  <c r="F27" i="4"/>
  <c r="G27"/>
  <c r="D27"/>
  <c r="G5"/>
  <c r="F19"/>
  <c r="F23" i="3"/>
  <c r="G23" s="1"/>
  <c r="H23" s="1"/>
  <c r="I23" s="1"/>
  <c r="J23" s="1"/>
  <c r="M50" i="2"/>
  <c r="H6" i="9" s="1"/>
  <c r="H8" s="1"/>
  <c r="K50" i="2"/>
  <c r="F6" i="9" s="1"/>
  <c r="F8" s="1"/>
  <c r="I24" i="2"/>
  <c r="I50" s="1"/>
  <c r="L50"/>
  <c r="G6" i="9" s="1"/>
  <c r="J50" i="2"/>
  <c r="E6" i="9" s="1"/>
  <c r="H49" i="2"/>
  <c r="H27"/>
  <c r="L37" i="6" l="1"/>
  <c r="E35"/>
  <c r="C43" i="7"/>
  <c r="C44"/>
  <c r="H29" i="8"/>
  <c r="E26" i="4"/>
  <c r="H26" s="1"/>
  <c r="G18"/>
  <c r="E25"/>
  <c r="H25" s="1"/>
  <c r="G17"/>
  <c r="G20" i="8"/>
  <c r="J20" s="1"/>
  <c r="K20" s="1"/>
  <c r="E13" i="4"/>
  <c r="G13" s="1"/>
  <c r="G19" i="8"/>
  <c r="J19" s="1"/>
  <c r="K19" s="1"/>
  <c r="E12" i="4"/>
  <c r="G12" s="1"/>
  <c r="G14" i="8"/>
  <c r="J14" s="1"/>
  <c r="K14" s="1"/>
  <c r="E7" i="4"/>
  <c r="G7" s="1"/>
  <c r="G11" i="8"/>
  <c r="G27" s="1"/>
  <c r="AE40" i="7"/>
  <c r="AE41" s="1"/>
  <c r="E4" i="4"/>
  <c r="G4" s="1"/>
  <c r="D36" i="5"/>
  <c r="F36" s="1"/>
  <c r="D34"/>
  <c r="F34" s="1"/>
  <c r="D35"/>
  <c r="F35" s="1"/>
  <c r="I21" i="6"/>
  <c r="G24" s="1"/>
  <c r="AC122" i="7"/>
  <c r="X122"/>
  <c r="Y122"/>
  <c r="AB122"/>
  <c r="J11" i="8"/>
  <c r="K11" s="1"/>
  <c r="M8" i="9"/>
  <c r="C8" i="1"/>
  <c r="K8" i="9"/>
  <c r="G8"/>
  <c r="H23" i="2"/>
  <c r="O50"/>
  <c r="J6" i="9" s="1"/>
  <c r="J8" s="1"/>
  <c r="L8"/>
  <c r="H8" i="2"/>
  <c r="N8" i="9"/>
  <c r="E8"/>
  <c r="I8"/>
  <c r="O8"/>
  <c r="C31" i="1"/>
  <c r="I52" i="7"/>
  <c r="I51"/>
  <c r="I50"/>
  <c r="I49"/>
  <c r="I48"/>
  <c r="I47"/>
  <c r="I46"/>
  <c r="I45"/>
  <c r="G53"/>
  <c r="I43"/>
  <c r="I42"/>
  <c r="I41"/>
  <c r="J48"/>
  <c r="J47"/>
  <c r="J46"/>
  <c r="F50"/>
  <c r="F47"/>
  <c r="E34"/>
  <c r="E33"/>
  <c r="E32"/>
  <c r="E29"/>
  <c r="E24"/>
  <c r="E23"/>
  <c r="E31"/>
  <c r="E28"/>
  <c r="E27"/>
  <c r="E26"/>
  <c r="E22"/>
  <c r="J36"/>
  <c r="J18"/>
  <c r="K17"/>
  <c r="K16"/>
  <c r="K15"/>
  <c r="K14"/>
  <c r="K11"/>
  <c r="K10"/>
  <c r="K9"/>
  <c r="K7"/>
  <c r="K5"/>
  <c r="F36"/>
  <c r="F18"/>
  <c r="G17"/>
  <c r="G15"/>
  <c r="G11"/>
  <c r="G8"/>
  <c r="G16"/>
  <c r="G12"/>
  <c r="G10"/>
  <c r="G9"/>
  <c r="G7"/>
  <c r="G5"/>
  <c r="AE122"/>
  <c r="C52"/>
  <c r="C51"/>
  <c r="C50"/>
  <c r="C49"/>
  <c r="C48"/>
  <c r="C47"/>
  <c r="C46"/>
  <c r="C45"/>
  <c r="C42"/>
  <c r="C41"/>
  <c r="J50"/>
  <c r="F51"/>
  <c r="F46"/>
  <c r="F53" s="1"/>
  <c r="O10"/>
  <c r="AE64"/>
  <c r="AF60" s="1"/>
  <c r="I34"/>
  <c r="I32"/>
  <c r="I28"/>
  <c r="I25"/>
  <c r="I33"/>
  <c r="I30"/>
  <c r="I29"/>
  <c r="I27"/>
  <c r="I24"/>
  <c r="I23"/>
  <c r="I22"/>
  <c r="AE89"/>
  <c r="J51"/>
  <c r="J45"/>
  <c r="H36"/>
  <c r="I17"/>
  <c r="I12"/>
  <c r="I7"/>
  <c r="I5"/>
  <c r="H18"/>
  <c r="I16"/>
  <c r="I15"/>
  <c r="I11"/>
  <c r="I10"/>
  <c r="I9"/>
  <c r="D36"/>
  <c r="E17"/>
  <c r="E16"/>
  <c r="E14"/>
  <c r="E13"/>
  <c r="E6"/>
  <c r="E5"/>
  <c r="D18"/>
  <c r="E15"/>
  <c r="E11"/>
  <c r="E10"/>
  <c r="E9"/>
  <c r="E8"/>
  <c r="F49"/>
  <c r="F48"/>
  <c r="AE126"/>
  <c r="U120"/>
  <c r="N29"/>
  <c r="O29" s="1"/>
  <c r="N28"/>
  <c r="O28" s="1"/>
  <c r="N14"/>
  <c r="K8"/>
  <c r="G13"/>
  <c r="K6"/>
  <c r="I44"/>
  <c r="AD122"/>
  <c r="Z122"/>
  <c r="T122"/>
  <c r="AE99"/>
  <c r="AA122"/>
  <c r="S122"/>
  <c r="E30"/>
  <c r="G14"/>
  <c r="K12"/>
  <c r="V122"/>
  <c r="O14"/>
  <c r="U122"/>
  <c r="L34"/>
  <c r="M28" s="1"/>
  <c r="N27"/>
  <c r="N34" s="1"/>
  <c r="O26"/>
  <c r="E25"/>
  <c r="N15"/>
  <c r="O15" s="1"/>
  <c r="N11"/>
  <c r="N17" s="1"/>
  <c r="I6"/>
  <c r="L17"/>
  <c r="M11" s="1"/>
  <c r="O25"/>
  <c r="K13"/>
  <c r="E12"/>
  <c r="O8"/>
  <c r="J21" i="6"/>
  <c r="H21"/>
  <c r="E21"/>
  <c r="L21"/>
  <c r="F21"/>
  <c r="K21"/>
  <c r="G21"/>
  <c r="C37" i="5"/>
  <c r="D32"/>
  <c r="E17"/>
  <c r="H40" s="1"/>
  <c r="H42" s="1"/>
  <c r="G40"/>
  <c r="G42" s="1"/>
  <c r="D35" i="1"/>
  <c r="C33"/>
  <c r="D6" i="9"/>
  <c r="H35" i="8" l="1"/>
  <c r="C35" s="1"/>
  <c r="L56" i="7"/>
  <c r="L58" s="1"/>
  <c r="J27" i="8"/>
  <c r="J53" i="7"/>
  <c r="E19" i="4"/>
  <c r="E20" s="1"/>
  <c r="G19"/>
  <c r="G20" s="1"/>
  <c r="E24"/>
  <c r="AF24" i="7"/>
  <c r="H34" i="8"/>
  <c r="C34" s="1"/>
  <c r="G29"/>
  <c r="C6" i="9"/>
  <c r="J36" i="6"/>
  <c r="G28"/>
  <c r="G30" s="1"/>
  <c r="C53" i="7"/>
  <c r="AF33"/>
  <c r="AF32"/>
  <c r="AF27"/>
  <c r="L14" i="8"/>
  <c r="L19"/>
  <c r="L17"/>
  <c r="L12"/>
  <c r="L15"/>
  <c r="L22"/>
  <c r="L18"/>
  <c r="L21"/>
  <c r="L26"/>
  <c r="L25"/>
  <c r="L13"/>
  <c r="L20"/>
  <c r="L24"/>
  <c r="L16"/>
  <c r="L23"/>
  <c r="L11"/>
  <c r="H24" i="2"/>
  <c r="H50"/>
  <c r="Y18" i="7"/>
  <c r="Y15"/>
  <c r="Y14"/>
  <c r="Y11"/>
  <c r="Y10"/>
  <c r="Y9"/>
  <c r="Y7"/>
  <c r="Y6"/>
  <c r="Y19"/>
  <c r="Y17"/>
  <c r="Y16"/>
  <c r="Y13"/>
  <c r="Y81" s="1"/>
  <c r="Y12"/>
  <c r="Y8"/>
  <c r="Y5"/>
  <c r="N36"/>
  <c r="N18"/>
  <c r="S95"/>
  <c r="AA95"/>
  <c r="V95"/>
  <c r="X95"/>
  <c r="AB95"/>
  <c r="Y95"/>
  <c r="U95"/>
  <c r="W95"/>
  <c r="T95"/>
  <c r="Z95"/>
  <c r="AD95"/>
  <c r="AC95"/>
  <c r="V85"/>
  <c r="Y85" s="1"/>
  <c r="AE67"/>
  <c r="U85" s="1"/>
  <c r="W85" s="1"/>
  <c r="Z85" s="1"/>
  <c r="AA85" s="1"/>
  <c r="AE65"/>
  <c r="AF62"/>
  <c r="AF58"/>
  <c r="AF61"/>
  <c r="AF59"/>
  <c r="AF57"/>
  <c r="AF63"/>
  <c r="M10"/>
  <c r="M31"/>
  <c r="O27"/>
  <c r="O34" s="1"/>
  <c r="I53"/>
  <c r="L36"/>
  <c r="L19"/>
  <c r="M17"/>
  <c r="M5"/>
  <c r="L18"/>
  <c r="M6"/>
  <c r="M7"/>
  <c r="M9"/>
  <c r="M16"/>
  <c r="M34"/>
  <c r="M23"/>
  <c r="M22"/>
  <c r="M30"/>
  <c r="M24"/>
  <c r="M33"/>
  <c r="AE87"/>
  <c r="AE120" s="1"/>
  <c r="AF40"/>
  <c r="AF31"/>
  <c r="AF28"/>
  <c r="AF29"/>
  <c r="AF30"/>
  <c r="AF39"/>
  <c r="AF34"/>
  <c r="AF36"/>
  <c r="AF25"/>
  <c r="AF26"/>
  <c r="AF38"/>
  <c r="AF35"/>
  <c r="AF37"/>
  <c r="M25"/>
  <c r="M8"/>
  <c r="M12"/>
  <c r="M13"/>
  <c r="M26"/>
  <c r="M32"/>
  <c r="AF56"/>
  <c r="AF64" s="1"/>
  <c r="M15"/>
  <c r="O11"/>
  <c r="O17" s="1"/>
  <c r="M14"/>
  <c r="M27"/>
  <c r="M29"/>
  <c r="D37" i="5"/>
  <c r="E38" s="1"/>
  <c r="F32"/>
  <c r="F37" s="1"/>
  <c r="C35" i="1"/>
  <c r="D37"/>
  <c r="D38" s="1"/>
  <c r="H24" i="4" l="1"/>
  <c r="H27" s="1"/>
  <c r="E27"/>
  <c r="F38" i="5"/>
  <c r="J38" i="6"/>
  <c r="J39" s="1"/>
  <c r="L36"/>
  <c r="L38" s="1"/>
  <c r="L39" s="1"/>
  <c r="G29"/>
  <c r="H30"/>
  <c r="L27" i="8"/>
  <c r="D7" i="9"/>
  <c r="C7" s="1"/>
  <c r="C37" i="1"/>
  <c r="O36" i="7"/>
  <c r="O18"/>
  <c r="AC18"/>
  <c r="AC15"/>
  <c r="AC14"/>
  <c r="AC11"/>
  <c r="AC10"/>
  <c r="AC9"/>
  <c r="AC7"/>
  <c r="AC6"/>
  <c r="AC19"/>
  <c r="AC17"/>
  <c r="AC16"/>
  <c r="AC13"/>
  <c r="AC81" s="1"/>
  <c r="AC12"/>
  <c r="AC8"/>
  <c r="AC5"/>
  <c r="AC20" s="1"/>
  <c r="AA18"/>
  <c r="AA15"/>
  <c r="AA14"/>
  <c r="AA11"/>
  <c r="AA10"/>
  <c r="AA9"/>
  <c r="AA7"/>
  <c r="AA6"/>
  <c r="AA19"/>
  <c r="AA17"/>
  <c r="AA16"/>
  <c r="AA13"/>
  <c r="AA81" s="1"/>
  <c r="AA12"/>
  <c r="AA8"/>
  <c r="AA5"/>
  <c r="W18"/>
  <c r="W15"/>
  <c r="W14"/>
  <c r="W11"/>
  <c r="W10"/>
  <c r="W9"/>
  <c r="W7"/>
  <c r="W6"/>
  <c r="W19"/>
  <c r="W17"/>
  <c r="W16"/>
  <c r="W13"/>
  <c r="W81" s="1"/>
  <c r="W12"/>
  <c r="W8"/>
  <c r="W5"/>
  <c r="W20" s="1"/>
  <c r="T19"/>
  <c r="T17"/>
  <c r="T16"/>
  <c r="T13"/>
  <c r="T81" s="1"/>
  <c r="T12"/>
  <c r="T8"/>
  <c r="T5"/>
  <c r="T18"/>
  <c r="T15"/>
  <c r="T14"/>
  <c r="T11"/>
  <c r="T10"/>
  <c r="T9"/>
  <c r="T7"/>
  <c r="T6"/>
  <c r="S18"/>
  <c r="S15"/>
  <c r="S14"/>
  <c r="S11"/>
  <c r="S10"/>
  <c r="S9"/>
  <c r="S7"/>
  <c r="S6"/>
  <c r="S19"/>
  <c r="S17"/>
  <c r="S16"/>
  <c r="S13"/>
  <c r="S12"/>
  <c r="S8"/>
  <c r="S5"/>
  <c r="Y115"/>
  <c r="Y110"/>
  <c r="AE90"/>
  <c r="Y20"/>
  <c r="AB19"/>
  <c r="AB17"/>
  <c r="AB16"/>
  <c r="AB13"/>
  <c r="AB81" s="1"/>
  <c r="AB12"/>
  <c r="AB8"/>
  <c r="AB5"/>
  <c r="AB18"/>
  <c r="AB15"/>
  <c r="AB14"/>
  <c r="AB11"/>
  <c r="AB10"/>
  <c r="AB9"/>
  <c r="AB7"/>
  <c r="AB6"/>
  <c r="V19"/>
  <c r="V17"/>
  <c r="V16"/>
  <c r="V13"/>
  <c r="V81" s="1"/>
  <c r="V12"/>
  <c r="V8"/>
  <c r="V5"/>
  <c r="V20" s="1"/>
  <c r="V18"/>
  <c r="V15"/>
  <c r="V14"/>
  <c r="V11"/>
  <c r="V10"/>
  <c r="V9"/>
  <c r="V7"/>
  <c r="V6"/>
  <c r="Z19"/>
  <c r="Z17"/>
  <c r="Z16"/>
  <c r="Z13"/>
  <c r="Z81" s="1"/>
  <c r="Z12"/>
  <c r="Z8"/>
  <c r="Z5"/>
  <c r="Z18"/>
  <c r="Z15"/>
  <c r="Z14"/>
  <c r="Z11"/>
  <c r="Z10"/>
  <c r="Z9"/>
  <c r="Z7"/>
  <c r="Z6"/>
  <c r="AD19"/>
  <c r="AD17"/>
  <c r="AD16"/>
  <c r="AD13"/>
  <c r="AD81" s="1"/>
  <c r="AD12"/>
  <c r="AD8"/>
  <c r="AD5"/>
  <c r="AD18"/>
  <c r="AD15"/>
  <c r="AD14"/>
  <c r="AD11"/>
  <c r="AD10"/>
  <c r="AD9"/>
  <c r="AD7"/>
  <c r="AD6"/>
  <c r="U18"/>
  <c r="U15"/>
  <c r="U14"/>
  <c r="U11"/>
  <c r="U10"/>
  <c r="U9"/>
  <c r="U7"/>
  <c r="U6"/>
  <c r="U19"/>
  <c r="U17"/>
  <c r="U16"/>
  <c r="U13"/>
  <c r="U81" s="1"/>
  <c r="U12"/>
  <c r="U8"/>
  <c r="U5"/>
  <c r="X19"/>
  <c r="X17"/>
  <c r="X16"/>
  <c r="X13"/>
  <c r="X81" s="1"/>
  <c r="X12"/>
  <c r="X8"/>
  <c r="X5"/>
  <c r="X18"/>
  <c r="X15"/>
  <c r="X14"/>
  <c r="X11"/>
  <c r="X10"/>
  <c r="X9"/>
  <c r="X7"/>
  <c r="X6"/>
  <c r="T85"/>
  <c r="Y102"/>
  <c r="D38" i="5"/>
  <c r="I40" i="6" l="1"/>
  <c r="K40"/>
  <c r="J40"/>
  <c r="C8" i="9"/>
  <c r="D8"/>
  <c r="AD115" i="7"/>
  <c r="AD110"/>
  <c r="Z102"/>
  <c r="V115"/>
  <c r="V110"/>
  <c r="AB102"/>
  <c r="Y79"/>
  <c r="Y82" s="1"/>
  <c r="AE5"/>
  <c r="S20"/>
  <c r="S115"/>
  <c r="S110"/>
  <c r="AE12"/>
  <c r="T102"/>
  <c r="W79"/>
  <c r="W115"/>
  <c r="W110"/>
  <c r="W111" s="1"/>
  <c r="AA102"/>
  <c r="AC79"/>
  <c r="AC115"/>
  <c r="AC110"/>
  <c r="AC111" s="1"/>
  <c r="AE16"/>
  <c r="AE19"/>
  <c r="AE7"/>
  <c r="AE10"/>
  <c r="AE14"/>
  <c r="AE18"/>
  <c r="X115"/>
  <c r="X110"/>
  <c r="U102"/>
  <c r="V79"/>
  <c r="X102"/>
  <c r="U115"/>
  <c r="U110"/>
  <c r="AD102"/>
  <c r="Z115"/>
  <c r="Z110"/>
  <c r="V102"/>
  <c r="V82"/>
  <c r="AB115"/>
  <c r="AB110"/>
  <c r="S81"/>
  <c r="AE13"/>
  <c r="T115"/>
  <c r="T110"/>
  <c r="W102"/>
  <c r="W82"/>
  <c r="AA115"/>
  <c r="AA110"/>
  <c r="AC102"/>
  <c r="AC82"/>
  <c r="X20"/>
  <c r="AD20"/>
  <c r="U20"/>
  <c r="Z20"/>
  <c r="AB20"/>
  <c r="AE8"/>
  <c r="AE17"/>
  <c r="AE6"/>
  <c r="AE9"/>
  <c r="AE11"/>
  <c r="AE15"/>
  <c r="T20"/>
  <c r="AA20"/>
  <c r="T79" l="1"/>
  <c r="T82" s="1"/>
  <c r="Z79"/>
  <c r="Z82" s="1"/>
  <c r="AD79"/>
  <c r="AD82" s="1"/>
  <c r="AE81"/>
  <c r="AE110"/>
  <c r="AE20"/>
  <c r="AA79"/>
  <c r="AA82" s="1"/>
  <c r="AB22"/>
  <c r="AA21"/>
  <c r="AB79"/>
  <c r="AB82" s="1"/>
  <c r="U79"/>
  <c r="U82" s="1"/>
  <c r="V22"/>
  <c r="X79"/>
  <c r="X82" s="1"/>
  <c r="X21"/>
  <c r="S102"/>
  <c r="S82"/>
  <c r="S79"/>
  <c r="T22"/>
  <c r="S21"/>
  <c r="AF6"/>
  <c r="AA111"/>
  <c r="T111"/>
  <c r="AB111"/>
  <c r="Z111"/>
  <c r="U111"/>
  <c r="AF7"/>
  <c r="AE115"/>
  <c r="Z22"/>
  <c r="AF15"/>
  <c r="AF17"/>
  <c r="AF18"/>
  <c r="AF10"/>
  <c r="AF19"/>
  <c r="Y111"/>
  <c r="AD22"/>
  <c r="X22"/>
  <c r="S111"/>
  <c r="V111"/>
  <c r="AD111"/>
  <c r="S51" l="1"/>
  <c r="S50"/>
  <c r="S49"/>
  <c r="S47"/>
  <c r="S46"/>
  <c r="S45"/>
  <c r="AA51"/>
  <c r="AA50"/>
  <c r="AA49"/>
  <c r="AA48" s="1"/>
  <c r="AA47"/>
  <c r="AA46"/>
  <c r="AA45"/>
  <c r="AE79"/>
  <c r="AF22"/>
  <c r="AE21"/>
  <c r="AF4"/>
  <c r="AE95"/>
  <c r="Y21"/>
  <c r="W21"/>
  <c r="AC21"/>
  <c r="V21"/>
  <c r="AF12"/>
  <c r="AF13"/>
  <c r="AD21"/>
  <c r="T21"/>
  <c r="X51"/>
  <c r="X50"/>
  <c r="X49"/>
  <c r="X47"/>
  <c r="X46"/>
  <c r="X45"/>
  <c r="X44" s="1"/>
  <c r="AE102"/>
  <c r="AE82"/>
  <c r="X111"/>
  <c r="AF9"/>
  <c r="AF16"/>
  <c r="AF14"/>
  <c r="AF8"/>
  <c r="AF11"/>
  <c r="AE22"/>
  <c r="U21"/>
  <c r="AB21"/>
  <c r="AF5"/>
  <c r="AE111"/>
  <c r="Z21"/>
  <c r="Z51" l="1"/>
  <c r="Z50"/>
  <c r="Z49"/>
  <c r="Z48" s="1"/>
  <c r="Z47"/>
  <c r="Z46"/>
  <c r="Z45"/>
  <c r="T51"/>
  <c r="T50"/>
  <c r="T49"/>
  <c r="T48" s="1"/>
  <c r="T47"/>
  <c r="T46"/>
  <c r="AE46" s="1"/>
  <c r="T45"/>
  <c r="V51"/>
  <c r="V50"/>
  <c r="V49"/>
  <c r="V48" s="1"/>
  <c r="V47"/>
  <c r="V46"/>
  <c r="V45"/>
  <c r="W51"/>
  <c r="W50"/>
  <c r="W49"/>
  <c r="W48" s="1"/>
  <c r="W47"/>
  <c r="W46"/>
  <c r="W45"/>
  <c r="S48"/>
  <c r="U51"/>
  <c r="U50"/>
  <c r="U49"/>
  <c r="U47"/>
  <c r="U46"/>
  <c r="U45"/>
  <c r="U44" s="1"/>
  <c r="AB51"/>
  <c r="AB50"/>
  <c r="AB49"/>
  <c r="AB47"/>
  <c r="AB46"/>
  <c r="AB45"/>
  <c r="AB44" s="1"/>
  <c r="AD51"/>
  <c r="AD50"/>
  <c r="AD49"/>
  <c r="AD47"/>
  <c r="AD46"/>
  <c r="AD45"/>
  <c r="AD44" s="1"/>
  <c r="AC51"/>
  <c r="AC50"/>
  <c r="AC49"/>
  <c r="AC47"/>
  <c r="AC46"/>
  <c r="AC45"/>
  <c r="AC44" s="1"/>
  <c r="Y51"/>
  <c r="AE51" s="1"/>
  <c r="Y50"/>
  <c r="AE50" s="1"/>
  <c r="Y49"/>
  <c r="AE49" s="1"/>
  <c r="Y47"/>
  <c r="Y46"/>
  <c r="Y45"/>
  <c r="Y44" s="1"/>
  <c r="S44"/>
  <c r="S52" s="1"/>
  <c r="X48"/>
  <c r="X52" s="1"/>
  <c r="AF20"/>
  <c r="AA44"/>
  <c r="AA52" s="1"/>
  <c r="AE47"/>
  <c r="X54" l="1"/>
  <c r="X53"/>
  <c r="AE48"/>
  <c r="S54"/>
  <c r="S53"/>
  <c r="AA54"/>
  <c r="AA53"/>
  <c r="AE45"/>
  <c r="AE44" s="1"/>
  <c r="AE52" s="1"/>
  <c r="Y48"/>
  <c r="Y52" s="1"/>
  <c r="AC48"/>
  <c r="AC52" s="1"/>
  <c r="AD48"/>
  <c r="AD52" s="1"/>
  <c r="AB48"/>
  <c r="AB52" s="1"/>
  <c r="U48"/>
  <c r="U52" s="1"/>
  <c r="W44"/>
  <c r="W52" s="1"/>
  <c r="V44"/>
  <c r="V52" s="1"/>
  <c r="T44"/>
  <c r="T52" s="1"/>
  <c r="Z44"/>
  <c r="Z52" s="1"/>
  <c r="AD54" l="1"/>
  <c r="AD53"/>
  <c r="U54"/>
  <c r="U53"/>
  <c r="Y54"/>
  <c r="Y53"/>
  <c r="AB54"/>
  <c r="AB53"/>
  <c r="AC54"/>
  <c r="AC53"/>
  <c r="T53"/>
  <c r="T54" s="1"/>
  <c r="W53"/>
  <c r="W54" s="1"/>
  <c r="Z53"/>
  <c r="Z54" s="1"/>
  <c r="V53"/>
  <c r="V54" s="1"/>
  <c r="AE54" l="1"/>
  <c r="AE53"/>
</calcChain>
</file>

<file path=xl/sharedStrings.xml><?xml version="1.0" encoding="utf-8"?>
<sst xmlns="http://schemas.openxmlformats.org/spreadsheetml/2006/main" count="6518" uniqueCount="2721">
  <si>
    <t>Lei Complementar Federal Nº 101/2000 - Inciso I do Artigo 53</t>
  </si>
  <si>
    <t>DEMONSTRATIVO DA RECEITA CORRENTE LÍQUIDA</t>
  </si>
  <si>
    <t>I - RECEITAS CORRENTES</t>
  </si>
  <si>
    <t>Receitas Correntes</t>
  </si>
  <si>
    <t>(R)  Deduções das Receitas Correntes</t>
  </si>
  <si>
    <t>II - DEDUÇÕES</t>
  </si>
  <si>
    <t>Contribuições para Custeio dos Sistemas Previdenciário e Assistencial</t>
  </si>
  <si>
    <t>Contribuições Sociais Específicas de Estados, DF e Municípios</t>
  </si>
  <si>
    <t>Compensação Previdenciária ao RPPS</t>
  </si>
  <si>
    <t>Compensação Financeira entre o Regime Geral e os Regimes Próprios de Previdência dos Servidores</t>
  </si>
  <si>
    <t>Receitas do RPPS - Remuneração e Outras Receitas</t>
  </si>
  <si>
    <t>Remuneração dos Recurso do Regime Próprio de Previdências Social - RPPS</t>
  </si>
  <si>
    <t>TOTAIS:</t>
  </si>
  <si>
    <t>Período:</t>
  </si>
  <si>
    <t>Receitas do Fundo de Assistência Social Social dos Servidores</t>
  </si>
  <si>
    <t>Remuneração de Depósitos Bancários de Recursos Vinculados - Fundo de Assistência Social</t>
  </si>
  <si>
    <t>Receitas Diretamente Arrecadadas pelo Fundo de Assistência Social dos Servidores</t>
  </si>
  <si>
    <t>Receitas do Fundo de Assistência à Saúde do Servidor</t>
  </si>
  <si>
    <t>Remuneração de Depósito Bancários de Recursos Vínculados - Fundo de Assistência à Saúde do Servidor</t>
  </si>
  <si>
    <t>Receitas Diretamente Arrecadadas pelo Fundo de Assistência à Saúde dos Servidores</t>
  </si>
  <si>
    <t>Outras Contribuições Sociais</t>
  </si>
  <si>
    <t>Outras Contribuições Sociais (1)</t>
  </si>
  <si>
    <t>( - ) Compensação Previdenciárfia à Prefeitura Municipal</t>
  </si>
  <si>
    <t>( - ) Contribuição dos Inativos e Pensionistas à Prefeitura Municipal</t>
  </si>
  <si>
    <t>( R ) Todas as contas dedutoras de receita correspondentes às utilizadas acima</t>
  </si>
  <si>
    <t>III - SUBTOTAL (III = I - II)</t>
  </si>
  <si>
    <t>IV - ( + ) Perda para o FUNDEB</t>
  </si>
  <si>
    <t>V - RECEITA CORRENTE LÍQUIDA (V = III + V)</t>
  </si>
  <si>
    <t>VI - Valor das Emendas Parlamentares de Individuais</t>
  </si>
  <si>
    <t>VIII - Valor das Emendas Parlamentares de Bancada</t>
  </si>
  <si>
    <t>IX - RECEITA CORRENTE LIQUIDA (Despesas com Pessoal) (IX = VII - VIII)</t>
  </si>
  <si>
    <t>( 1 ) A Natureza de Receita 1.2.9.99.1.0.00.00.00 - Demais Contribuições Socias deverá ser detalhada conforme a necessidade do Orgão para a contabilização das contribuições para Fundos de Assitência Médica dos Servidores Municipais.</t>
  </si>
  <si>
    <t>( 2 ) Valor correspondente à Soma das Receitas Arrecadadas no período com os complementos de recurso vínculado código 3110 - transferências da União decorrentes de Emendas Pralamentares Individuais e 3410 - TransferÊncias da União decorrentes de Emndas Parlamentares Individuais - COVID-19.</t>
  </si>
  <si>
    <t>( 3 ) Valor correspondente à Soma das Receitas Arrecadadas no período com os complementos de recurso vínculado código 3120 - transferências da União decorrentes de Emendas Parlamentares de bancada e 3150 - Transferências da União decorrentes de Mendas Parlamentares de Emndas Parlamentares de Bancada - COVID-19.</t>
  </si>
  <si>
    <t>1.2.1.8.00.0.0.00.00.00</t>
  </si>
  <si>
    <t>1.3.2.1.00.4.0.00.00.00</t>
  </si>
  <si>
    <t>1.9.9.0.99.1.X.01.00.00</t>
  </si>
  <si>
    <t>1.9.9.0.99.1.X.02.00.00</t>
  </si>
  <si>
    <t>1.9.9.0.99.1.X.03.00.00</t>
  </si>
  <si>
    <t>1.2.1.9.00.0.0.00.00.00</t>
  </si>
  <si>
    <t>(1.2.1.9.99.1.X.02.00.00)</t>
  </si>
  <si>
    <t>(1.2.1.9.99.1.X.01.00.00)</t>
  </si>
  <si>
    <t>12º Mês</t>
  </si>
  <si>
    <t>11º mês</t>
  </si>
  <si>
    <t>10º Mês</t>
  </si>
  <si>
    <t>9º Mês</t>
  </si>
  <si>
    <t>8º Mês</t>
  </si>
  <si>
    <t>7º Mês</t>
  </si>
  <si>
    <t>Discriminação</t>
  </si>
  <si>
    <t>Códificação:</t>
  </si>
  <si>
    <t>1.0.0.0.0.00.00.00</t>
  </si>
  <si>
    <t>9.1.0.0.0.00.0.0.00.00.00.00</t>
  </si>
  <si>
    <t>Modelo 2 - Demonstrativo da Despesa com Pessoal</t>
  </si>
  <si>
    <t>Lei Complementar Federal nº 101/2000, artigo 54 e alínea "a" do inciso I do artigo 55</t>
  </si>
  <si>
    <t>Despesa Líquidada</t>
  </si>
  <si>
    <t>I - NATUREZA DE DESPESA</t>
  </si>
  <si>
    <t>Pessoal e encargos sociais</t>
  </si>
  <si>
    <t>Outras Despesas de Pessoal de Contratos de Terceirização - Substituição de mão de obra (art. 18, § 1º da LRF)</t>
  </si>
  <si>
    <t>Pensões do RPPS e do Militar (com Recursos do RPPS)</t>
  </si>
  <si>
    <t>Ajuda de Custo</t>
  </si>
  <si>
    <t>Remoções</t>
  </si>
  <si>
    <t>Despesas de Exercícios Anteriores</t>
  </si>
  <si>
    <t>Indenizações e Restituições Trabalhistas</t>
  </si>
  <si>
    <t>III - TOTAL DAS NATUREZAS DE DESPESA (I - II)</t>
  </si>
  <si>
    <t>Recursos para cobertura de Insuficências Financeiras</t>
  </si>
  <si>
    <t>Recursos para cobertura de Déficit Financeiro</t>
  </si>
  <si>
    <t>Cálculo Despesa c/ Pessoal 1º e 2º Quadrimestre/1º Semestre: Emp. Não Liquidados</t>
  </si>
  <si>
    <t>Cálculo Despesa c/ Pessoal 3º Quadrimestre/2º Semestre: Restos a Pagar Não Processados</t>
  </si>
  <si>
    <t>V - TOTAL DOS EMPENHOS NÃO LÍQUIDADOS - RESTOS A PAGAR NÃO PROCESSADOS</t>
  </si>
  <si>
    <t>Informação da Execução do Consórcio p/ consolidação - maio a Dez</t>
  </si>
  <si>
    <t>Informação da Execução do Consórcio p/ consolidação - Exercício atual - 1º Bimestre</t>
  </si>
  <si>
    <t>8.5.3.2.4.01.01</t>
  </si>
  <si>
    <t>8.5.3.2.4.02.01</t>
  </si>
  <si>
    <t>Informação da Execução do Consórcio p/ consolidação - Exercício atual - 2º Bimestre</t>
  </si>
  <si>
    <t>8.5.3.2.4.02.02</t>
  </si>
  <si>
    <t>Contas Aplicáveis ao 1º Quadrimestre (1)</t>
  </si>
  <si>
    <t>Contas Aplicáveis ao 1º Semestre (1)</t>
  </si>
  <si>
    <t>Informação da Execução do Consórcio p/ consolidação - julho a Dez</t>
  </si>
  <si>
    <t>8.5.3.2.4.01.02</t>
  </si>
  <si>
    <t>Informação da Execução do Consórcio p/ consolidação - Exercício atual - 3º Bimestre</t>
  </si>
  <si>
    <t>8.5.3.2.4.02.03</t>
  </si>
  <si>
    <t>Contas Aplicáveis ao 2º Quadremestre (1)</t>
  </si>
  <si>
    <t>Informação da Execução do Consórcio p/ consolidação - Setembro a Dez</t>
  </si>
  <si>
    <t>8.5.3.2.4.01.03</t>
  </si>
  <si>
    <t>8.5.3.2.4.02.04</t>
  </si>
  <si>
    <t>Informação da Execução do Consórcio p/ consolidação - Exercício atual - 4º Bimestre</t>
  </si>
  <si>
    <t>Contas Aplicáveis ao 3º Quadremestre e ao 2º Semestre (1)</t>
  </si>
  <si>
    <t>Informação da Execução do Consórcio p/ consolidação - Exercício atual - 5º Bimestre</t>
  </si>
  <si>
    <t>8.5.3.2.4.02.05</t>
  </si>
  <si>
    <t>Informação da Execução do Consórcio p/ consolidação - Exercício atual - 6º Bimestre</t>
  </si>
  <si>
    <t>8.5.3.2.4.02.06</t>
  </si>
  <si>
    <t>VI - TOTAL DAS CONTAS CONTÁBEIS DE CPONTROLE</t>
  </si>
  <si>
    <t>Codificação:</t>
  </si>
  <si>
    <t>Cálculo das contas das naturezas de despesas de pessoal dos Itens I e II</t>
  </si>
  <si>
    <t>IV - TOTAL DAS CONTAS PATRIMONIAIS</t>
  </si>
  <si>
    <t>6º Mês</t>
  </si>
  <si>
    <t>5º Mês</t>
  </si>
  <si>
    <t>4º Mês</t>
  </si>
  <si>
    <t>3º Mês</t>
  </si>
  <si>
    <t>2º Mês</t>
  </si>
  <si>
    <t>1º Mês</t>
  </si>
  <si>
    <t>Total dos últimos</t>
  </si>
  <si>
    <t>12 meses</t>
  </si>
  <si>
    <t>VII - TOTAL DA DESPESA COM PESSOAL ATIVO / INATIVO DA ENTIDADE VII = (III + IV + V - VI)</t>
  </si>
  <si>
    <t>Detalhamento:</t>
  </si>
  <si>
    <t>3.1.9.0.11.48</t>
  </si>
  <si>
    <t>LICENCA PREMIO INDENIZADA</t>
  </si>
  <si>
    <t>3.1.9.0.94</t>
  </si>
  <si>
    <t>Aposentadoria do RPPS, Reserva Remunerada e Reformas dos Militares (com recursos do RPPS)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</si>
  <si>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</si>
  <si>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</si>
  <si>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</si>
  <si>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</si>
  <si>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</si>
  <si>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</si>
  <si>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3.1.90.01</t>
  </si>
  <si>
    <t>3.1.90.03</t>
  </si>
  <si>
    <t>3.1.90.16.99.02</t>
  </si>
  <si>
    <t>3.1.90.16.99.01</t>
  </si>
  <si>
    <t>3.1.90.92</t>
  </si>
  <si>
    <t>3.5.1.3.2.01.01</t>
  </si>
  <si>
    <t>3.5.1.3.2.02.01</t>
  </si>
  <si>
    <t>3.1.00.00.00.00</t>
  </si>
  <si>
    <t>3.3.XX.34.01.00</t>
  </si>
  <si>
    <t>Aliquotas vigentes em 2021 do FAPS/RPPS</t>
  </si>
  <si>
    <t>ENTE</t>
  </si>
  <si>
    <t>SEGURADO</t>
  </si>
  <si>
    <t>Normal</t>
  </si>
  <si>
    <t>Suplementar</t>
  </si>
  <si>
    <t>Média dos Segurados</t>
  </si>
  <si>
    <t>Lei Municipal Nº 4167  de 04/08/2020 - Art. 4º - Aliquota do Passivo Atuarial.</t>
  </si>
  <si>
    <t>Janeiro</t>
  </si>
  <si>
    <t>Fevereiro</t>
  </si>
  <si>
    <t>Março</t>
  </si>
  <si>
    <t>Abril</t>
  </si>
  <si>
    <t>7.9.9.0.01.1.1</t>
  </si>
  <si>
    <t>Aportes Periodicos Amortiz Deficit Atuarial</t>
  </si>
  <si>
    <t>7.9.9.0.01.1.3</t>
  </si>
  <si>
    <t>Aportes Periodicos Amortiz Deficit Atuarial - Div Ativa</t>
  </si>
  <si>
    <t>Receitas Totais</t>
  </si>
  <si>
    <t>Total da Despesa Paga</t>
  </si>
  <si>
    <t>Resultado:</t>
  </si>
  <si>
    <t>(- )</t>
  </si>
  <si>
    <t>Valor do déficit para cobertura do Passivo Atuarial:</t>
  </si>
  <si>
    <t>( = )</t>
  </si>
  <si>
    <t>Rendimentos Líquidos Auferidos do Período:</t>
  </si>
  <si>
    <t>Saldo dos Valores Aplicados:</t>
  </si>
  <si>
    <t>Percentual dos Rendimentos em relação ao Saldo:</t>
  </si>
  <si>
    <t>Seq.</t>
  </si>
  <si>
    <t>ÓRGÃOS</t>
  </si>
  <si>
    <t>Dotações:</t>
  </si>
  <si>
    <t>Liquidado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</si>
  <si>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</si>
  <si>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</si>
  <si>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</si>
  <si>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</si>
  <si>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</si>
  <si>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</si>
  <si>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</si>
  <si>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</si>
  <si>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</si>
  <si>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SMSMA</t>
  </si>
  <si>
    <t>SMAS</t>
  </si>
  <si>
    <t>SMAIC</t>
  </si>
  <si>
    <t>Encargos</t>
  </si>
  <si>
    <t>FAPS</t>
  </si>
  <si>
    <t>FASM</t>
  </si>
  <si>
    <t>A Pagar</t>
  </si>
  <si>
    <t>Pref.</t>
  </si>
  <si>
    <t>Total:</t>
  </si>
  <si>
    <t>Data Base:</t>
  </si>
  <si>
    <t>09 SECRETARIA DE MUNIC. DA EDUCACAO</t>
  </si>
  <si>
    <t>09.01 ENSINO FUNDAMENTAL</t>
  </si>
  <si>
    <t>09.02 ENSINO INFANTIL PRE-ESCOLA</t>
  </si>
  <si>
    <t>09.03 ENSINO INFANTIL - CRECHE</t>
  </si>
  <si>
    <t>09.05 ENSINO ESPECIAL</t>
  </si>
  <si>
    <t>09.07 ENSINO JOVENS E ADULTOS - EJA</t>
  </si>
  <si>
    <t>2.021 - 367</t>
  </si>
  <si>
    <t>Atividades:</t>
  </si>
  <si>
    <t>Emp</t>
  </si>
  <si>
    <t>Líq</t>
  </si>
  <si>
    <t>Pgtos</t>
  </si>
  <si>
    <t>Saldo Dotações:</t>
  </si>
  <si>
    <t>60% - 361 - 2.013</t>
  </si>
  <si>
    <t>40% - 361 - 2.014</t>
  </si>
  <si>
    <t>60% - PRE - 2.015</t>
  </si>
  <si>
    <t>40% PRE 2.016</t>
  </si>
  <si>
    <t>60% CRECHE 2.017</t>
  </si>
  <si>
    <t>40% CRECHE 2.018</t>
  </si>
  <si>
    <t>60% Especial 2.021</t>
  </si>
  <si>
    <t>60% EJA 2.022</t>
  </si>
  <si>
    <t>40% EJA 2.023</t>
  </si>
  <si>
    <t>SubTotais:01</t>
  </si>
  <si>
    <t>SubTotais: 03</t>
  </si>
  <si>
    <t>60% FUNDEB</t>
  </si>
  <si>
    <t>40% FUNDEB:</t>
  </si>
  <si>
    <t>Livre - 2.014</t>
  </si>
  <si>
    <t>SubTotais:02</t>
  </si>
  <si>
    <t>Livre - 2.248</t>
  </si>
  <si>
    <t>SubTotais: 04</t>
  </si>
  <si>
    <t>Descrição:</t>
  </si>
  <si>
    <t>Matrículas</t>
  </si>
  <si>
    <t>Proporção</t>
  </si>
  <si>
    <t>MDE e FUNDEB</t>
  </si>
  <si>
    <t>FUNDEB: Liquidada</t>
  </si>
  <si>
    <t>MDE+Livre: Liquidada</t>
  </si>
  <si>
    <t>Fundamental</t>
  </si>
  <si>
    <t>Fundeb:</t>
  </si>
  <si>
    <t>Pré</t>
  </si>
  <si>
    <t>MDE:</t>
  </si>
  <si>
    <t>Creche</t>
  </si>
  <si>
    <t>Total Geral:</t>
  </si>
  <si>
    <t>EJA</t>
  </si>
  <si>
    <t>Especial</t>
  </si>
  <si>
    <t>Fonte SIOPE</t>
  </si>
  <si>
    <t>Despesa Liquidada:</t>
  </si>
  <si>
    <t>Percentual s/ Total</t>
  </si>
  <si>
    <t>Repasses FUNDEB</t>
  </si>
  <si>
    <t>Total Liquidado do FUNDEB: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</si>
  <si>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</si>
  <si>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</si>
  <si>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</si>
  <si>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</si>
  <si>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</si>
  <si>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1. NÍVEIS: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</si>
  <si>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</si>
  <si>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</si>
  <si>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</si>
  <si>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</si>
  <si>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</si>
  <si>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</si>
  <si>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</si>
  <si>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</si>
  <si>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1.1.1.3.03.1</t>
  </si>
  <si>
    <t>IRRF</t>
  </si>
  <si>
    <t>1.1.1.8.01.1</t>
  </si>
  <si>
    <t>IPTU</t>
  </si>
  <si>
    <t>1.1.1.8.01.4</t>
  </si>
  <si>
    <t>ITBI</t>
  </si>
  <si>
    <t>1.1.1.8.02.3</t>
  </si>
  <si>
    <t>ISQN</t>
  </si>
  <si>
    <t>1.7.1.8.01.2</t>
  </si>
  <si>
    <t>FPM</t>
  </si>
  <si>
    <t>1.7.1.8.01.3</t>
  </si>
  <si>
    <t>1% FPM</t>
  </si>
  <si>
    <t>1.7.1.8.01.4</t>
  </si>
  <si>
    <t>1.7.1.8.01.5.1</t>
  </si>
  <si>
    <t>ITR</t>
  </si>
  <si>
    <t>1.7.1.8.06.1.1</t>
  </si>
  <si>
    <t>L.C. No 87/96</t>
  </si>
  <si>
    <t>1.7.2.8.01.1.1</t>
  </si>
  <si>
    <t>ICMS</t>
  </si>
  <si>
    <t>1.7.2.8.01.2.1</t>
  </si>
  <si>
    <t>IPVA</t>
  </si>
  <si>
    <t>1.7.2.8.01.3.1</t>
  </si>
  <si>
    <t>IPI Exp.</t>
  </si>
  <si>
    <t>1.7.5.8.01.1.1</t>
  </si>
  <si>
    <t>FUNDEB</t>
  </si>
  <si>
    <t>Percentual da Receita Realizada em relação a Prevista:</t>
  </si>
  <si>
    <t>Verificação:</t>
  </si>
  <si>
    <t>Cálculo:</t>
  </si>
  <si>
    <t>RECURSOS:</t>
  </si>
  <si>
    <t>ASPS</t>
  </si>
  <si>
    <t>LIVRE</t>
  </si>
  <si>
    <t>% da Despesa liquidada sobre a Receita realizada do FUNDEB</t>
  </si>
  <si>
    <t>Total da MDE</t>
  </si>
  <si>
    <t>DESPESA</t>
  </si>
  <si>
    <t>(-) Plus Fundeb</t>
  </si>
  <si>
    <t>MDE</t>
  </si>
  <si>
    <t>(-)Rend. da MDE</t>
  </si>
  <si>
    <t>( - ) 3.1.91.13.20</t>
  </si>
  <si>
    <t>EMPENHADO</t>
  </si>
  <si>
    <t>(-)Rend. do FUNDEB</t>
  </si>
  <si>
    <t>( - ) 3.3.91.08</t>
  </si>
  <si>
    <t>LIQUIDADO</t>
  </si>
  <si>
    <t>(-)31.91.13.99+31.91.13.08</t>
  </si>
  <si>
    <t>( - ) Rendimento</t>
  </si>
  <si>
    <t>PAGO</t>
  </si>
  <si>
    <t>Valor a aplicado</t>
  </si>
  <si>
    <t>( = ) TOTAIS:</t>
  </si>
  <si>
    <t>% Emp.</t>
  </si>
  <si>
    <t>% da Educação</t>
  </si>
  <si>
    <t>índice Apurado:</t>
  </si>
  <si>
    <t>% Liq. + Rep</t>
  </si>
  <si>
    <t>APLICAÇÃO:</t>
  </si>
  <si>
    <t>%pago</t>
  </si>
  <si>
    <t>TOTAIS</t>
  </si>
  <si>
    <t>Metodologia de Cálculo realizado conforme descrição por telefone do TCE/RS.</t>
  </si>
  <si>
    <t>a Liquidar</t>
  </si>
  <si>
    <t>a Pagar</t>
  </si>
  <si>
    <t>RENDIM.:</t>
  </si>
  <si>
    <t>( - ) Plus do FUNDEB</t>
  </si>
  <si>
    <t>Índice Apurado:</t>
  </si>
  <si>
    <t>ANEXO II DO CRONOGRAMA DE DESEMBOLSO PARA 2021</t>
  </si>
  <si>
    <t>ANEXO III - CRONOGRAMA DE REEMBOLSO E DESEMBOLSO AO MÊS PARA 2021</t>
  </si>
  <si>
    <t>CRONOGRAMA DE DESEMBOLSO POR ORGÃO PARA O EXERCÍCIO DE 2021</t>
  </si>
  <si>
    <t>Cronograma</t>
  </si>
  <si>
    <t>RECEITA CONSOLIDADA REALIZADA</t>
  </si>
  <si>
    <t>PREVISTO</t>
  </si>
  <si>
    <t>REESTIMADA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</si>
  <si>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</si>
  <si>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</si>
  <si>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</si>
  <si>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</si>
  <si>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</si>
  <si>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</si>
  <si>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</si>
  <si>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</si>
  <si>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</si>
  <si>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</si>
  <si>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</si>
  <si>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</si>
  <si>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</si>
  <si>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MESES</t>
  </si>
  <si>
    <t>%</t>
  </si>
  <si>
    <t>Maio</t>
  </si>
  <si>
    <t>Junho</t>
  </si>
  <si>
    <t>Julho</t>
  </si>
  <si>
    <t>Agosto</t>
  </si>
  <si>
    <t>Setembro</t>
  </si>
  <si>
    <t>SMS</t>
  </si>
  <si>
    <t>Outubro</t>
  </si>
  <si>
    <t>Novembro</t>
  </si>
  <si>
    <t>Dezembro</t>
  </si>
  <si>
    <t>Reserva</t>
  </si>
  <si>
    <t>% em relação ao ano anterior</t>
  </si>
  <si>
    <t>DESPESA CONSOLIDA LIQUIDADA</t>
  </si>
  <si>
    <t>=</t>
  </si>
  <si>
    <t>% ao mês</t>
  </si>
  <si>
    <t>Total por Bimestre</t>
  </si>
  <si>
    <t>1º Bimestre</t>
  </si>
  <si>
    <t>2º Bimestre</t>
  </si>
  <si>
    <t>3º Bimestre</t>
  </si>
  <si>
    <t>4º Bimestre</t>
  </si>
  <si>
    <t>5º Bimestre</t>
  </si>
  <si>
    <t>6º Bimestre</t>
  </si>
  <si>
    <t>Superávit</t>
  </si>
  <si>
    <t>A Vertic</t>
  </si>
  <si>
    <t>RECEITA/2021</t>
  </si>
  <si>
    <t>DIFERENÇA</t>
  </si>
  <si>
    <t>DESPESA/2021</t>
  </si>
  <si>
    <t>SUPERÁVIT/DÉFICIT</t>
  </si>
  <si>
    <t>REALIZADA</t>
  </si>
  <si>
    <t>RECEITA</t>
  </si>
  <si>
    <t>EXECUTADA</t>
  </si>
  <si>
    <t>AO MÊS</t>
  </si>
  <si>
    <t>CRONOGRAMA DA DESPESA POR CATEGORIA</t>
  </si>
  <si>
    <t>EXERCÍCIO DE 2021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</si>
  <si>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</si>
  <si>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</si>
  <si>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</si>
  <si>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</si>
  <si>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</si>
  <si>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</si>
  <si>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</si>
  <si>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</si>
  <si>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</si>
  <si>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</si>
  <si>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</si>
  <si>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Investimentos</t>
  </si>
  <si>
    <t>4.5.</t>
  </si>
  <si>
    <t>Inversões Financeira</t>
  </si>
  <si>
    <t>4.6.</t>
  </si>
  <si>
    <t>Amortização da Dívida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</si>
  <si>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</si>
  <si>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</si>
  <si>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</si>
  <si>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</si>
  <si>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</si>
  <si>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</si>
  <si>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Restos a Pagar Processados de Exercícios Anteriores Pagos:</t>
  </si>
  <si>
    <t>a Pagar:</t>
  </si>
  <si>
    <t>Restos a Pagar Não Processados de Exercícios Anteriores Pagos:</t>
  </si>
  <si>
    <t>a Liquidar:</t>
  </si>
  <si>
    <t>Totais:</t>
  </si>
  <si>
    <t>Total da Despesa Liquidada:</t>
  </si>
  <si>
    <r>
      <t>Nota:</t>
    </r>
    <r>
      <rPr>
        <sz val="6"/>
        <rFont val="Arial"/>
        <family val="2"/>
      </rPr>
      <t xml:space="preserve"> + Despesa não Liquidada:</t>
    </r>
  </si>
  <si>
    <t>Total da DespesaEmpenhada:</t>
  </si>
  <si>
    <t>Cponsolidadas</t>
  </si>
  <si>
    <t>EVOLUÇÃO DOS SALDOS DOS RESTOS A PAGAR DO PERÍODO:</t>
  </si>
  <si>
    <t>Despesas Corr.</t>
  </si>
  <si>
    <t>Ano: 2020</t>
  </si>
  <si>
    <t xml:space="preserve"> Janeiro</t>
  </si>
  <si>
    <t>Ano</t>
  </si>
  <si>
    <t>Receita Corrente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</si>
  <si>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</si>
  <si>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</si>
  <si>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</si>
  <si>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</si>
  <si>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</si>
  <si>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</si>
  <si>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</si>
  <si>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</si>
  <si>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</si>
  <si>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</si>
  <si>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A Liquidar</t>
  </si>
  <si>
    <t>Pago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</si>
  <si>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</si>
  <si>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</si>
  <si>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</si>
  <si>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</si>
  <si>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</si>
  <si>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</si>
  <si>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Pagos:</t>
  </si>
  <si>
    <t>Não Process.:</t>
  </si>
  <si>
    <t>% s/ o Total</t>
  </si>
  <si>
    <t>DESPESA REALIZADO POR BIMESTRE NA SAÚDE  EM 2.021</t>
  </si>
  <si>
    <t>COMPARATIVO DA DESPESA PREVISTA COM A REALIZADA MÊS NO EXERCÍCIO DE 2.020</t>
  </si>
  <si>
    <t>DIFERENÇA:</t>
  </si>
  <si>
    <t>SECRETARIA MUNICIPAL DA EDUCAÇÃO - SEDUC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</si>
  <si>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</si>
  <si>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</si>
  <si>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</si>
  <si>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</si>
  <si>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</si>
  <si>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</si>
  <si>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</si>
  <si>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</si>
  <si>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</si>
  <si>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</si>
  <si>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</si>
  <si>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</si>
  <si>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</si>
  <si>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</si>
  <si>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COMPARATIVO DA DESPESA REALIZADA CONSOLIDADA COM A DESPESA REALIZADA NA EDUCAÇÃO</t>
  </si>
  <si>
    <t>% ao mês s/ Total realiz.</t>
  </si>
  <si>
    <t>DESPESA REALIZADO POR BIMESTRE NA EDUCAÇÃO EM 2.021</t>
  </si>
  <si>
    <t>TOTAL DO PERIÓDO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</si>
  <si>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</si>
  <si>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</si>
  <si>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</si>
  <si>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</si>
  <si>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</si>
  <si>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r>
      <t xml:space="preserve">INSTRUMENTO DE CONTROLE: </t>
    </r>
    <r>
      <rPr>
        <b/>
        <sz val="10"/>
        <rFont val="Arial"/>
        <family val="2"/>
      </rPr>
      <t>TERMÔMETRO DE CRUZ</t>
    </r>
  </si>
  <si>
    <t>PREVISTA</t>
  </si>
  <si>
    <t>ATUALIZADA</t>
  </si>
  <si>
    <t>EXERCICIO DE 2021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</si>
  <si>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</si>
  <si>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</si>
  <si>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</si>
  <si>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</si>
  <si>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</si>
  <si>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</si>
  <si>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</si>
  <si>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</si>
  <si>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</si>
  <si>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</si>
  <si>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</si>
  <si>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</si>
  <si>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</si>
  <si>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</si>
  <si>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</si>
  <si>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</si>
  <si>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</si>
  <si>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</si>
  <si>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</si>
  <si>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</si>
  <si>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</si>
  <si>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t xml:space="preserve">[F] </t>
    </r>
    <r>
      <rPr>
        <b/>
        <sz val="8"/>
        <rFont val="Arial"/>
        <family val="2"/>
      </rPr>
      <t>B - C</t>
    </r>
  </si>
  <si>
    <r>
      <t xml:space="preserve">[G]  </t>
    </r>
    <r>
      <rPr>
        <b/>
        <sz val="8"/>
        <rFont val="Arial"/>
        <family val="2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</si>
  <si>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</si>
  <si>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</si>
  <si>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</si>
  <si>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</si>
  <si>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</si>
  <si>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</si>
  <si>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</si>
  <si>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</si>
  <si>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</si>
  <si>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</si>
  <si>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</si>
  <si>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</si>
  <si>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</si>
  <si>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</si>
  <si>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</si>
  <si>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</si>
  <si>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</si>
  <si>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</si>
  <si>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</si>
  <si>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</si>
  <si>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</si>
  <si>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</si>
  <si>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</si>
  <si>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</si>
  <si>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</si>
  <si>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</si>
  <si>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</si>
  <si>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</si>
  <si>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</si>
  <si>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</si>
  <si>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</si>
  <si>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</si>
  <si>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3ª - O déficit é provocado pelo despêndio maior que o previsto para o periodo no Orçamento e Regumentado no Decreto Executivo  nº 3037, de 15 Fevereiro de 2013.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</si>
  <si>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</si>
  <si>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</si>
  <si>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</si>
  <si>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</si>
  <si>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</si>
  <si>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</si>
  <si>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</si>
  <si>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</si>
  <si>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01º Mês</t>
  </si>
  <si>
    <t>1.3.2.1.00.1.1.01.10</t>
  </si>
  <si>
    <t>1.3.2.1.00.1.X.01.10.00</t>
  </si>
  <si>
    <t>1.9.9.0.03.1.1.00.00.00</t>
  </si>
  <si>
    <t>1.3.2.1.00.1.X.01.09</t>
  </si>
  <si>
    <t>Contribuição para o RPPS do Servidor Público</t>
  </si>
  <si>
    <t>1.2.1.8.01</t>
  </si>
  <si>
    <t>Contribuição Social para o Financiamento da Seguridade Social</t>
  </si>
  <si>
    <t>1.2.1.9.99.1.1.03 e .04</t>
  </si>
  <si>
    <t xml:space="preserve">Evolução Mensal da Despesa Liquidada com Pessoal </t>
  </si>
  <si>
    <t>TOTAIS DOS ÚLTIMOS 12 MESES</t>
  </si>
  <si>
    <t>Despesa Liquida c/ Pessoal</t>
  </si>
  <si>
    <t>Receita Corrente Líquida</t>
  </si>
  <si>
    <t>Índice da DCLP s/ a RCL</t>
  </si>
  <si>
    <t>Limite Máximo do Índice</t>
  </si>
  <si>
    <t>Fonte:</t>
  </si>
  <si>
    <t>Demonstrativos da Receita Corrente Realizada e da Despesa Líquidada Orçamentarias.</t>
  </si>
  <si>
    <t>3.1.9.0.08</t>
  </si>
  <si>
    <t>3.1.9.0.11.07</t>
  </si>
  <si>
    <t>Abono de Permanência</t>
  </si>
  <si>
    <t>3.1.9.0.91.36</t>
  </si>
  <si>
    <t>PRECATORIOS - PENSIONISTA CIVIL</t>
  </si>
  <si>
    <t>3.1.91.13.10.02</t>
  </si>
  <si>
    <t>Contribuições Patronais para o RPPS - Pensionista = 3.1.9.1.13.03.03</t>
  </si>
  <si>
    <t>3.3.91.08.11.01</t>
  </si>
  <si>
    <t>3.1.91.13.20</t>
  </si>
  <si>
    <t>Amortização do Passivo Atuarial com RPPS - Alíquota Suplementar (20.00; 21.01 e 20.02)</t>
  </si>
  <si>
    <t>Ativos/Inativos Poder Executivo/Indiretas</t>
  </si>
  <si>
    <t>Ativos/Inativos Poder Legislativo</t>
  </si>
  <si>
    <t>1.1.1.3.03.1.1.01</t>
  </si>
  <si>
    <t>1.1.1.3.03.1.1.02</t>
  </si>
  <si>
    <t>3.3.90.08 = Outros Benefícios Previdenciários do Servidor</t>
  </si>
  <si>
    <t>08.11.02+08.11.03 Plano de Seguridade Social do Servidor - Pessoal Ativo 3.1.9.1.13.08 = AUXILIO-SAUDE</t>
  </si>
  <si>
    <t>3.1.90.05.00.02</t>
  </si>
  <si>
    <t>OUTROS BENEFICIOS PREVIDENCIARIOS - PESSOAL INATIVO</t>
  </si>
  <si>
    <t>EXECUÇÃO DOS CONSÓRCIOS PÚBLICOS</t>
  </si>
  <si>
    <t>Página: 1/2</t>
  </si>
  <si>
    <t>Página: 2/2</t>
  </si>
  <si>
    <t>9000 - Prefeitura e Fundos:</t>
  </si>
  <si>
    <t>Fonte: Demonstrativo da Despesa Orçamentária Empenhada e liquidada ao Mês</t>
  </si>
  <si>
    <t>1.Receita Realizada:</t>
  </si>
  <si>
    <t>2.Desp. Liquidada</t>
  </si>
  <si>
    <t>3.Despesa Paga:</t>
  </si>
  <si>
    <t>4.Resultado: 1-3</t>
  </si>
  <si>
    <t>5.A Pagar: 2-3</t>
  </si>
  <si>
    <t>70,00% para as aplicaçoes mínimas no FUNDEB</t>
  </si>
  <si>
    <t>Mínimo Anual de 70% do FUNDEB na Remuneração do Magistério</t>
  </si>
  <si>
    <t>INSTRUÇÃO NORMATIVA nº 4/2021 - TCE/RS.</t>
  </si>
  <si>
    <t>Ano: 2021</t>
  </si>
  <si>
    <t>Progressão do Déficit no período</t>
  </si>
  <si>
    <t>MDE: 0020</t>
  </si>
  <si>
    <t>Ens.Especial2021</t>
  </si>
  <si>
    <t>Ens.Especial2120</t>
  </si>
  <si>
    <t>40%-361-2.014MDE</t>
  </si>
  <si>
    <t>No PAD-SIAPC do TCE/RS não esta deduzindo a Despesa 3.3.91.08 da Educação e da Saúde na apuração do índice.</t>
  </si>
  <si>
    <t>Instrução Normativa TCE/RS nº 18/2020 - índices da Saúde e do Ensino.</t>
  </si>
  <si>
    <t>Estado do Rio Grande do Sul - Prefeitura Municipal de Cacapava do Sul</t>
  </si>
  <si>
    <t>Disponibilidade Financeira do Recurso Vinculado - Junho de 2021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</si>
  <si>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</si>
  <si>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</si>
  <si>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</si>
  <si>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</si>
  <si>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</si>
  <si>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</si>
  <si>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Liquidações Orçam. Efetuados</t>
  </si>
  <si>
    <t>Liquidações de Restos Efetuadas</t>
  </si>
  <si>
    <t>Total das Liquidações</t>
  </si>
  <si>
    <t>Transferências Devolvidas</t>
  </si>
  <si>
    <t>Saldo P/Utilização Recurso Vinculado</t>
  </si>
  <si>
    <t>Fonte de Recursos</t>
  </si>
  <si>
    <t>Recurso Livre - Administração Direta Municipal</t>
  </si>
  <si>
    <t>4.682.245,45</t>
  </si>
  <si>
    <t>24.531.471,98</t>
  </si>
  <si>
    <t>2.093.662,20</t>
  </si>
  <si>
    <t>31.307.379,63</t>
  </si>
  <si>
    <t>18.098.764,57</t>
  </si>
  <si>
    <t>287.656,86</t>
  </si>
  <si>
    <t>18.386.421,43</t>
  </si>
  <si>
    <t>10.827.296,00</t>
  </si>
  <si>
    <t>MDE - Manutenção e Desenvolvimento Ensino</t>
  </si>
  <si>
    <t>21.322,44</t>
  </si>
  <si>
    <t>3.262.615,85</t>
  </si>
  <si>
    <t>0,00</t>
  </si>
  <si>
    <t>3.283.938,29</t>
  </si>
  <si>
    <t>3.976.552,95</t>
  </si>
  <si>
    <t>158.742,34</t>
  </si>
  <si>
    <t>4.135.295,29</t>
  </si>
  <si>
    <t>-851.357,00</t>
  </si>
  <si>
    <t>FUNDEB (a partir de 01/01/2007 - Instituído pela EC n° 53/2006)</t>
  </si>
  <si>
    <t>467.418,85</t>
  </si>
  <si>
    <t>12.875.692,72</t>
  </si>
  <si>
    <t>13.343.111,57</t>
  </si>
  <si>
    <t>11.232.672,77</t>
  </si>
  <si>
    <t>2.110.438,80</t>
  </si>
  <si>
    <t>ASPS - Ações de Serviços Públicos de Saúde</t>
  </si>
  <si>
    <t>117.931,20</t>
  </si>
  <si>
    <t>5.822.910,63</t>
  </si>
  <si>
    <t>5.940.841,83</t>
  </si>
  <si>
    <t>9.549.251,32</t>
  </si>
  <si>
    <t>399.858,40</t>
  </si>
  <si>
    <t>9.949.109,72</t>
  </si>
  <si>
    <t>-4.008.267,89</t>
  </si>
  <si>
    <t>RPPS (instituído como FUNDO dentro da Administração Direta)</t>
  </si>
  <si>
    <t>33.035.663,09</t>
  </si>
  <si>
    <t>15.316.055,80</t>
  </si>
  <si>
    <t>48.351.718,89</t>
  </si>
  <si>
    <t>11.162.076,50</t>
  </si>
  <si>
    <t>37.189.642,39</t>
  </si>
  <si>
    <t>COVID-19</t>
  </si>
  <si>
    <t>4,50</t>
  </si>
  <si>
    <t>PROGRAMA NACIONAL DE ALIMENTACAO ESCOLAR PNAE/FNDE.</t>
  </si>
  <si>
    <t>232.186,33</t>
  </si>
  <si>
    <t>258.971,77</t>
  </si>
  <si>
    <t>491.158,10</t>
  </si>
  <si>
    <t>204.089,65</t>
  </si>
  <si>
    <t>287.068,45</t>
  </si>
  <si>
    <t>SALARIO EDUCACAO</t>
  </si>
  <si>
    <t>516.318,48</t>
  </si>
  <si>
    <t>785.981,77</t>
  </si>
  <si>
    <t>1.302.300,25</t>
  </si>
  <si>
    <t>78.110,96</t>
  </si>
  <si>
    <t>6.200,55</t>
  </si>
  <si>
    <t>84.311,51</t>
  </si>
  <si>
    <t>1.217.988,74</t>
  </si>
  <si>
    <t>TRANSPORTE ESCOLAR</t>
  </si>
  <si>
    <t>228.138,49</t>
  </si>
  <si>
    <t>87.455,24</t>
  </si>
  <si>
    <t>315.593,73</t>
  </si>
  <si>
    <t>CONVENIO UNIAO FUNDACAO NACIONAL DE DESENVOLVIMENTO DA EDUCACAO - FNDE</t>
  </si>
  <si>
    <t>1.350.359,29</t>
  </si>
  <si>
    <t>9.188,63</t>
  </si>
  <si>
    <t>1.359.547,92</t>
  </si>
  <si>
    <t>Recursos do PEATE/RS</t>
  </si>
  <si>
    <t>378.419,89</t>
  </si>
  <si>
    <t>289.993,95</t>
  </si>
  <si>
    <t>668.413,84</t>
  </si>
  <si>
    <t>RECURSOS CREDITO EDUCATIVO FUNCRED</t>
  </si>
  <si>
    <t>13.638,11</t>
  </si>
  <si>
    <t>54,75</t>
  </si>
  <si>
    <t>13.692,86</t>
  </si>
  <si>
    <t>CEF-DESENVOLVIMENTO DA AGROPECUÁRIA</t>
  </si>
  <si>
    <t>1.145,32</t>
  </si>
  <si>
    <t>5,86</t>
  </si>
  <si>
    <t>1.151,18</t>
  </si>
  <si>
    <t>SERVIÇOS AGROPECUARIOS</t>
  </si>
  <si>
    <t>1.377,23</t>
  </si>
  <si>
    <t>43.183,31</t>
  </si>
  <si>
    <t>44.560,54</t>
  </si>
  <si>
    <t>42.020,51</t>
  </si>
  <si>
    <t>2.540,03</t>
  </si>
  <si>
    <t>APOIO E DESENVOLVIMENTO DA AGRICULTURA FAMILIAR</t>
  </si>
  <si>
    <t>58.626,35</t>
  </si>
  <si>
    <t>271,80</t>
  </si>
  <si>
    <t>58.898,15</t>
  </si>
  <si>
    <t>CONVÊNIO-UNIÃO C/ FUNDO DE ASSISTÊNCIA SOCIAL</t>
  </si>
  <si>
    <t>677.697,48</t>
  </si>
  <si>
    <t>121.245,69</t>
  </si>
  <si>
    <t>798.943,17</t>
  </si>
  <si>
    <t>245.068,92</t>
  </si>
  <si>
    <t>553.874,25</t>
  </si>
  <si>
    <t>CONVÊNIO-ESTADO C/ FUNDO DE ASSISTÊNCIA SOCIAL</t>
  </si>
  <si>
    <t>41.300,11</t>
  </si>
  <si>
    <t>9.783,07</t>
  </si>
  <si>
    <t>51.083,18</t>
  </si>
  <si>
    <t>Programa Habitacional Minha Casa do ERGSul.</t>
  </si>
  <si>
    <t>104.353,76</t>
  </si>
  <si>
    <t>482,84</t>
  </si>
  <si>
    <t>104.836,60</t>
  </si>
  <si>
    <t>Fundo Municipal da Criança e do Adolescente</t>
  </si>
  <si>
    <t>151.781,09</t>
  </si>
  <si>
    <t>10.756,47</t>
  </si>
  <si>
    <t>162.537,56</t>
  </si>
  <si>
    <t>58.979,86</t>
  </si>
  <si>
    <t>103.557,70</t>
  </si>
  <si>
    <t>Programa Habitar Brasil</t>
  </si>
  <si>
    <t>19,98</t>
  </si>
  <si>
    <t>RECURSOS DA INFRA-ESTRUTURA</t>
  </si>
  <si>
    <t>161,04</t>
  </si>
  <si>
    <t>0,68</t>
  </si>
  <si>
    <t>161,72</t>
  </si>
  <si>
    <t>COTA-PARTE DA MULTA DE TRANSITO</t>
  </si>
  <si>
    <t>71.752,12</t>
  </si>
  <si>
    <t>3.458,22</t>
  </si>
  <si>
    <t>75.210,34</t>
  </si>
  <si>
    <t>2.057,18</t>
  </si>
  <si>
    <t>77.244,06</t>
  </si>
  <si>
    <t>79.301,24</t>
  </si>
  <si>
    <t>-4.090,90</t>
  </si>
  <si>
    <t>Recursos destinados a açoes valtadas ao meio ambiente e a infra infraestrutura.</t>
  </si>
  <si>
    <t>282.488,18</t>
  </si>
  <si>
    <t>228.161,05</t>
  </si>
  <si>
    <t>510.649,23</t>
  </si>
  <si>
    <t>310.834,40</t>
  </si>
  <si>
    <t>35.154,64</t>
  </si>
  <si>
    <t>345.989,04</t>
  </si>
  <si>
    <t>164.660,19</t>
  </si>
  <si>
    <t>Construção, Ampliação, Moderniação e Reforma de Modulos Esportivos</t>
  </si>
  <si>
    <t>191.950,46</t>
  </si>
  <si>
    <t>806,36</t>
  </si>
  <si>
    <t>192.756,82</t>
  </si>
  <si>
    <t>Estacionamento Rotativo</t>
  </si>
  <si>
    <t>0,59</t>
  </si>
  <si>
    <t>0,03</t>
  </si>
  <si>
    <t>0,62</t>
  </si>
  <si>
    <t>FUNREBOM</t>
  </si>
  <si>
    <t>128.285,26</t>
  </si>
  <si>
    <t>10.030,95</t>
  </si>
  <si>
    <t>138.316,21</t>
  </si>
  <si>
    <t>40.156,67</t>
  </si>
  <si>
    <t>98.159,54</t>
  </si>
  <si>
    <t>CONVENIO COM O ESTADO PARA INFRA-ESTRUTU</t>
  </si>
  <si>
    <t>12.203,37</t>
  </si>
  <si>
    <t>6.859,34</t>
  </si>
  <si>
    <t>19.062,71</t>
  </si>
  <si>
    <t>14.662,00</t>
  </si>
  <si>
    <t>4.400,71</t>
  </si>
  <si>
    <t>1.950.753,30</t>
  </si>
  <si>
    <t>2.316.789,70</t>
  </si>
  <si>
    <t>4.267.543,00</t>
  </si>
  <si>
    <t>3.076.458,77</t>
  </si>
  <si>
    <t>1.191.084,23</t>
  </si>
  <si>
    <t>Exec. de Ações de prev. e preparação p/ emergências e desastres</t>
  </si>
  <si>
    <t>42.376,47</t>
  </si>
  <si>
    <t>216,58</t>
  </si>
  <si>
    <t>42.593,05</t>
  </si>
  <si>
    <t>Obras /plano Estadual de Enfrentamento de Desastres Amientais</t>
  </si>
  <si>
    <t>9.141,61</t>
  </si>
  <si>
    <t>42,40</t>
  </si>
  <si>
    <t>9.184,01</t>
  </si>
  <si>
    <t>Recursos do Estado para Infra-Estrutura</t>
  </si>
  <si>
    <t>331.552,33</t>
  </si>
  <si>
    <t>1.537,42</t>
  </si>
  <si>
    <t>333.089,75</t>
  </si>
  <si>
    <t>Pavimentação Ruas Ijuí, Dagoberto e Retaxerxes</t>
  </si>
  <si>
    <t>128.134,73</t>
  </si>
  <si>
    <t>1.115,68</t>
  </si>
  <si>
    <t>129.250,41</t>
  </si>
  <si>
    <t>Aquisição de veículos, máquinas e equipamentos.</t>
  </si>
  <si>
    <t>42,48</t>
  </si>
  <si>
    <t>0,18</t>
  </si>
  <si>
    <t>42,66</t>
  </si>
  <si>
    <t>Pavimentação Rua Silva Jardim</t>
  </si>
  <si>
    <t>10.483,93</t>
  </si>
  <si>
    <t>49.261,16</t>
  </si>
  <si>
    <t>59.745,09</t>
  </si>
  <si>
    <t>Passeio público e ciclovia</t>
  </si>
  <si>
    <t>4.567,79</t>
  </si>
  <si>
    <t>0,85</t>
  </si>
  <si>
    <t>4.568,64</t>
  </si>
  <si>
    <t>Ações de recuperação de emergência - Recuperação de pontes</t>
  </si>
  <si>
    <t>8.158,55</t>
  </si>
  <si>
    <t>32,01</t>
  </si>
  <si>
    <t>8.190,56</t>
  </si>
  <si>
    <t>8.201,01</t>
  </si>
  <si>
    <t>-10,45</t>
  </si>
  <si>
    <t>Pavimentação da Rua do Aterro</t>
  </si>
  <si>
    <t>43.744,11</t>
  </si>
  <si>
    <t>79.229,63</t>
  </si>
  <si>
    <t>122.973,74</t>
  </si>
  <si>
    <t>38.687,22</t>
  </si>
  <si>
    <t>84.286,52</t>
  </si>
  <si>
    <t>Pavimentação da Rua Xiru Meireles</t>
  </si>
  <si>
    <t>44.752,93</t>
  </si>
  <si>
    <t>21.611,31</t>
  </si>
  <si>
    <t>66.364,24</t>
  </si>
  <si>
    <t>11.781,54</t>
  </si>
  <si>
    <t>54.582,70</t>
  </si>
  <si>
    <t>Pav. Rua Tiradentes</t>
  </si>
  <si>
    <t>32,10</t>
  </si>
  <si>
    <t>140.350,43</t>
  </si>
  <si>
    <t>140.382,53</t>
  </si>
  <si>
    <t>Recuperação e Manutenção de Estradas Vicinais</t>
  </si>
  <si>
    <t>100.404,14</t>
  </si>
  <si>
    <t>GESTÃO DO SUS</t>
  </si>
  <si>
    <t>8,92</t>
  </si>
  <si>
    <t>Outras receitas municipais aplicadas em Saúde</t>
  </si>
  <si>
    <t>324.703,93</t>
  </si>
  <si>
    <t>590,47</t>
  </si>
  <si>
    <t>325.294,40</t>
  </si>
  <si>
    <t>165.651,03</t>
  </si>
  <si>
    <t>159.643,37</t>
  </si>
  <si>
    <t>Atenção Básica - PIES / Núcleo de Apoio à Atenção Básica - NAAB / Oficinas Terapêuticas / Redução de Danos / Rede Cegonha - exames pré-natais / Tele D</t>
  </si>
  <si>
    <t>8.937,98</t>
  </si>
  <si>
    <t>235.181,55</t>
  </si>
  <si>
    <t>244.119,53</t>
  </si>
  <si>
    <t>191.025,84</t>
  </si>
  <si>
    <t>53.093,69</t>
  </si>
  <si>
    <t>INVERNO GAUCHO</t>
  </si>
  <si>
    <t>12,44</t>
  </si>
  <si>
    <t>Farmácia Básica / Plantas Medicinais e Fitoterápicos / Diabetes Mellitus / Fraldas e outros insumos</t>
  </si>
  <si>
    <t>116.737,74</t>
  </si>
  <si>
    <t>123.323,86</t>
  </si>
  <si>
    <t>240.061,60</t>
  </si>
  <si>
    <t>79.026,69</t>
  </si>
  <si>
    <t>161.034,91</t>
  </si>
  <si>
    <t>Recursos para Medicamentos de Mellitus</t>
  </si>
  <si>
    <t>496,55</t>
  </si>
  <si>
    <t>2,44</t>
  </si>
  <si>
    <t>498,99</t>
  </si>
  <si>
    <t>PACS</t>
  </si>
  <si>
    <t>49,53</t>
  </si>
  <si>
    <t>PSF / NASF / ESF Quilombola / ESF Indígena / Saúde Bucal / Saúde Bucal Indígena / PACS / ESF Prisional / Residência Médica / Combate ao Racismo Instit</t>
  </si>
  <si>
    <t>44.713,15</t>
  </si>
  <si>
    <t>189.270,49</t>
  </si>
  <si>
    <t>233.983,64</t>
  </si>
  <si>
    <t>168.857,65</t>
  </si>
  <si>
    <t>65.125,99</t>
  </si>
  <si>
    <t>PIM - Primeira Infância Melhor</t>
  </si>
  <si>
    <t>42.137,29</t>
  </si>
  <si>
    <t>207,77</t>
  </si>
  <si>
    <t>42.345,06</t>
  </si>
  <si>
    <t>SAMU / UPA - Urgências - Remoção PAC</t>
  </si>
  <si>
    <t>167,75</t>
  </si>
  <si>
    <t>71.671,07</t>
  </si>
  <si>
    <t>71.838,82</t>
  </si>
  <si>
    <t>56.222,45</t>
  </si>
  <si>
    <t>15.616,37</t>
  </si>
  <si>
    <t>Vigilância em Saúde / Laboratório de Entomologia / Dengue / Desastres Ambientais</t>
  </si>
  <si>
    <t>3.830,35</t>
  </si>
  <si>
    <t>18,90</t>
  </si>
  <si>
    <t>3.849,25</t>
  </si>
  <si>
    <t>CAPS - Centro de Atenção Psicossocial</t>
  </si>
  <si>
    <t>4.119,97</t>
  </si>
  <si>
    <t>84.058,85</t>
  </si>
  <si>
    <t>88.178,82</t>
  </si>
  <si>
    <t>72.140,67</t>
  </si>
  <si>
    <t>16.038,15</t>
  </si>
  <si>
    <t>REGIONALIZAÇÃO - aquisição de ambulância</t>
  </si>
  <si>
    <t>69,73</t>
  </si>
  <si>
    <t>CUCA LEGAL (CAPS)</t>
  </si>
  <si>
    <t>493,04</t>
  </si>
  <si>
    <t>2,43</t>
  </si>
  <si>
    <t>495,47</t>
  </si>
  <si>
    <t>SANEAMENTO BÁSICO</t>
  </si>
  <si>
    <t>33,24</t>
  </si>
  <si>
    <t>Aquisição de Veículos</t>
  </si>
  <si>
    <t>350,10</t>
  </si>
  <si>
    <t>50.084,81</t>
  </si>
  <si>
    <t>50.434,91</t>
  </si>
  <si>
    <t>Aquisição de Equipamentos e Material Permanente</t>
  </si>
  <si>
    <t>2.361,23</t>
  </si>
  <si>
    <t>11,64</t>
  </si>
  <si>
    <t>2.372,87</t>
  </si>
  <si>
    <t>Construções ou Ampliações</t>
  </si>
  <si>
    <t>7.094,50</t>
  </si>
  <si>
    <t>34,99</t>
  </si>
  <si>
    <t>7.129,49</t>
  </si>
  <si>
    <t>Reformas</t>
  </si>
  <si>
    <t>128.066,89</t>
  </si>
  <si>
    <t>631,50</t>
  </si>
  <si>
    <t>128.698,39</t>
  </si>
  <si>
    <t>CUSTEIO - Atenção Básica</t>
  </si>
  <si>
    <t>1.056.175,18</t>
  </si>
  <si>
    <t>1.954.070,54</t>
  </si>
  <si>
    <t>3.010.245,72</t>
  </si>
  <si>
    <t>1.836.662,04</t>
  </si>
  <si>
    <t>1.173.583,68</t>
  </si>
  <si>
    <t>CUSTEIO - Atenção de média e alta complexidade ambulatorial e hospitalar</t>
  </si>
  <si>
    <t>43.996,69</t>
  </si>
  <si>
    <t>454.423,84</t>
  </si>
  <si>
    <t>498.420,53</t>
  </si>
  <si>
    <t>445.224,52</t>
  </si>
  <si>
    <t>53.196,01</t>
  </si>
  <si>
    <t>CUSTEIO - Vigilância em Saúde</t>
  </si>
  <si>
    <t>123.504,85</t>
  </si>
  <si>
    <t>62.604,43</t>
  </si>
  <si>
    <t>186.109,28</t>
  </si>
  <si>
    <t>51.866,91</t>
  </si>
  <si>
    <t>134.242,37</t>
  </si>
  <si>
    <t xml:space="preserve">CUSTEIO - Assistência Farmacêutica </t>
  </si>
  <si>
    <t>111.690,86</t>
  </si>
  <si>
    <t>105.547,86</t>
  </si>
  <si>
    <t>217.238,72</t>
  </si>
  <si>
    <t>101.550,81</t>
  </si>
  <si>
    <t>115.687,91</t>
  </si>
  <si>
    <t>CUSTEIO - Gestão do SUS</t>
  </si>
  <si>
    <t>49.532,13</t>
  </si>
  <si>
    <t>222,55</t>
  </si>
  <si>
    <t>49.754,68</t>
  </si>
  <si>
    <t>INVESTIMENTO - Atenção Básica</t>
  </si>
  <si>
    <t>738.533,21</t>
  </si>
  <si>
    <t>3.520,52</t>
  </si>
  <si>
    <t>742.053,73</t>
  </si>
  <si>
    <t>58.314,74</t>
  </si>
  <si>
    <t>683.738,99</t>
  </si>
  <si>
    <t>INVESTIMENTO - Atenção Especializada</t>
  </si>
  <si>
    <t>13.841,54</t>
  </si>
  <si>
    <t>58,99</t>
  </si>
  <si>
    <t>13.900,53</t>
  </si>
  <si>
    <t>INVESTIMENTO - Vigilância em Saúde</t>
  </si>
  <si>
    <t>304,55</t>
  </si>
  <si>
    <t>1,28</t>
  </si>
  <si>
    <t>305,83</t>
  </si>
  <si>
    <t>INVESTIMENTO - Gestão do SUS</t>
  </si>
  <si>
    <t>89.898,28</t>
  </si>
  <si>
    <t>378,20</t>
  </si>
  <si>
    <t>90.276,48</t>
  </si>
  <si>
    <t>CUSTEIO - Outros programas financiados por transferências fundo a fundo</t>
  </si>
  <si>
    <t>1.224.328,57</t>
  </si>
  <si>
    <t>61.968,97</t>
  </si>
  <si>
    <t>1.286.297,54</t>
  </si>
  <si>
    <t>1.195.242,40</t>
  </si>
  <si>
    <t>2.000,00</t>
  </si>
  <si>
    <t>1.197.242,40</t>
  </si>
  <si>
    <t>89.055,14</t>
  </si>
  <si>
    <t>INVESTIMENTO - Outras transferências</t>
  </si>
  <si>
    <t>17.375,00</t>
  </si>
  <si>
    <t>74,03</t>
  </si>
  <si>
    <t>17.449,03</t>
  </si>
  <si>
    <t>Recurso Federal - CAPS</t>
  </si>
  <si>
    <t>134,34</t>
  </si>
  <si>
    <t>Recursos Extraorçamentários</t>
  </si>
  <si>
    <t>1.087.925,73</t>
  </si>
  <si>
    <t>RECURSO-EXTRAORÇAMENTÁRIO - TRANSPORTE ESCOLAR</t>
  </si>
  <si>
    <t>390,63</t>
  </si>
  <si>
    <t>RECURSO EXTRAORÇAMENTÁRIO DO RPPS</t>
  </si>
  <si>
    <t>671.158,65</t>
  </si>
  <si>
    <t>51.253.703,33</t>
  </si>
  <si>
    <t>69.783.992,23</t>
  </si>
  <si>
    <t>123.131.357,76</t>
  </si>
  <si>
    <t>62.521.743,79</t>
  </si>
  <si>
    <t>1.017.325,61</t>
  </si>
  <si>
    <t>63.539.069,40</t>
  </si>
  <si>
    <t>57.498.626,16</t>
  </si>
  <si>
    <t>Empenhos Orçam. Efetuados</t>
  </si>
  <si>
    <t>Empenhos Restos em 31/12/2020</t>
  </si>
  <si>
    <t>Total Empenhado</t>
  </si>
  <si>
    <t>21.124.923,83</t>
  </si>
  <si>
    <t>14.582.056,70</t>
  </si>
  <si>
    <t>35.706.980,53</t>
  </si>
  <si>
    <t>-6.493.263,10</t>
  </si>
  <si>
    <t>4.094.425,22</t>
  </si>
  <si>
    <t>4.165.008,25</t>
  </si>
  <si>
    <t>8.259.433,47</t>
  </si>
  <si>
    <t>-4.975.495,18</t>
  </si>
  <si>
    <t>FUNDEF</t>
  </si>
  <si>
    <t>57,84</t>
  </si>
  <si>
    <t>-57,84</t>
  </si>
  <si>
    <t>492.837,01</t>
  </si>
  <si>
    <t>11.725.509,78</t>
  </si>
  <si>
    <t>1.617.601,79</t>
  </si>
  <si>
    <t>10.244.486,88</t>
  </si>
  <si>
    <t>7.343.277,16</t>
  </si>
  <si>
    <t>17.587.764,04</t>
  </si>
  <si>
    <t>-11.646.922,21</t>
  </si>
  <si>
    <t>11.166.821,60</t>
  </si>
  <si>
    <t>33.584,90</t>
  </si>
  <si>
    <t>11.200.406,50</t>
  </si>
  <si>
    <t>37.151.312,39</t>
  </si>
  <si>
    <t>263.423,80</t>
  </si>
  <si>
    <t>227.734,30</t>
  </si>
  <si>
    <t>131.818,03</t>
  </si>
  <si>
    <t>66.203,55</t>
  </si>
  <si>
    <t>198.021,58</t>
  </si>
  <si>
    <t>1.104.278,67</t>
  </si>
  <si>
    <t>900,00</t>
  </si>
  <si>
    <t>667.513,84</t>
  </si>
  <si>
    <t>57.032,01</t>
  </si>
  <si>
    <t>1.809,10</t>
  </si>
  <si>
    <t>58.841,11</t>
  </si>
  <si>
    <t>-14.280,57</t>
  </si>
  <si>
    <t>368.298,16</t>
  </si>
  <si>
    <t>29.842,20</t>
  </si>
  <si>
    <t>398.140,36</t>
  </si>
  <si>
    <t>400.802,81</t>
  </si>
  <si>
    <t>98.199,00</t>
  </si>
  <si>
    <t>-47.115,82</t>
  </si>
  <si>
    <t>59.119,86</t>
  </si>
  <si>
    <t>1.789,00</t>
  </si>
  <si>
    <t>60.908,86</t>
  </si>
  <si>
    <t>101.628,70</t>
  </si>
  <si>
    <t>81.604,06</t>
  </si>
  <si>
    <t>83.661,24</t>
  </si>
  <si>
    <t>-8.450,90</t>
  </si>
  <si>
    <t>598.999,99</t>
  </si>
  <si>
    <t>876.112,78</t>
  </si>
  <si>
    <t>1.475.112,77</t>
  </si>
  <si>
    <t>-964.463,54</t>
  </si>
  <si>
    <t>46.925,49</t>
  </si>
  <si>
    <t>2.918,21</t>
  </si>
  <si>
    <t>49.843,70</t>
  </si>
  <si>
    <t>88.472,51</t>
  </si>
  <si>
    <t>25.702,00</t>
  </si>
  <si>
    <t>3.677,69</t>
  </si>
  <si>
    <t>29.379,69</t>
  </si>
  <si>
    <t>-10.316,98</t>
  </si>
  <si>
    <t>3.889.253,07</t>
  </si>
  <si>
    <t>49.278,40</t>
  </si>
  <si>
    <t>3.938.531,47</t>
  </si>
  <si>
    <t>329.011,53</t>
  </si>
  <si>
    <t>81.343,88</t>
  </si>
  <si>
    <t>-38.750,83</t>
  </si>
  <si>
    <t>Programa PRODESA</t>
  </si>
  <si>
    <t>71.619,01</t>
  </si>
  <si>
    <t>-71.619,01</t>
  </si>
  <si>
    <t>99.356,58</t>
  </si>
  <si>
    <t>29.893,83</t>
  </si>
  <si>
    <t>52.340,23</t>
  </si>
  <si>
    <t>7.404,86</t>
  </si>
  <si>
    <t>20,00</t>
  </si>
  <si>
    <t>8.221,01</t>
  </si>
  <si>
    <t>-30,45</t>
  </si>
  <si>
    <t>Pavimentação da Av. João Manuel de Lima e Silva</t>
  </si>
  <si>
    <t>695.673,71</t>
  </si>
  <si>
    <t>-695.673,71</t>
  </si>
  <si>
    <t>240.343,30</t>
  </si>
  <si>
    <t>-117.369,56</t>
  </si>
  <si>
    <t>44.417,48</t>
  </si>
  <si>
    <t>21.946,76</t>
  </si>
  <si>
    <t>216.380,95</t>
  </si>
  <si>
    <t>-75.998,42</t>
  </si>
  <si>
    <t>186.904,95</t>
  </si>
  <si>
    <t>50.480,48</t>
  </si>
  <si>
    <t>237.385,43</t>
  </si>
  <si>
    <t>87.908,97</t>
  </si>
  <si>
    <t>192.568,81</t>
  </si>
  <si>
    <t>320,03</t>
  </si>
  <si>
    <t>192.888,84</t>
  </si>
  <si>
    <t>51.230,69</t>
  </si>
  <si>
    <t>139.069,03</t>
  </si>
  <si>
    <t>5.585,16</t>
  </si>
  <si>
    <t>144.654,19</t>
  </si>
  <si>
    <t>95.407,41</t>
  </si>
  <si>
    <t>176.404,90</t>
  </si>
  <si>
    <t>101,44</t>
  </si>
  <si>
    <t>176.506,34</t>
  </si>
  <si>
    <t>57.477,30</t>
  </si>
  <si>
    <t>56.252,45</t>
  </si>
  <si>
    <t>15.586,37</t>
  </si>
  <si>
    <t>2.900,00</t>
  </si>
  <si>
    <t>949,25</t>
  </si>
  <si>
    <t>72.966,25</t>
  </si>
  <si>
    <t>15.212,57</t>
  </si>
  <si>
    <t>261,87</t>
  </si>
  <si>
    <t>233,60</t>
  </si>
  <si>
    <t>203,76</t>
  </si>
  <si>
    <t>6.925,73</t>
  </si>
  <si>
    <t>127.807,41</t>
  </si>
  <si>
    <t>890,98</t>
  </si>
  <si>
    <t>1.964.327,10</t>
  </si>
  <si>
    <t>55.280,96</t>
  </si>
  <si>
    <t>2.019.608,06</t>
  </si>
  <si>
    <t>990.637,66</t>
  </si>
  <si>
    <t>539.758,56</t>
  </si>
  <si>
    <t>22.924,78</t>
  </si>
  <si>
    <t>562.683,34</t>
  </si>
  <si>
    <t>-64.262,81</t>
  </si>
  <si>
    <t>67.233,94</t>
  </si>
  <si>
    <t>762,00</t>
  </si>
  <si>
    <t>67.995,94</t>
  </si>
  <si>
    <t>118.113,34</t>
  </si>
  <si>
    <t>117.466,07</t>
  </si>
  <si>
    <t>11.009,20</t>
  </si>
  <si>
    <t>128.475,27</t>
  </si>
  <si>
    <t>88.763,45</t>
  </si>
  <si>
    <t>3,80</t>
  </si>
  <si>
    <t>49.750,88</t>
  </si>
  <si>
    <t>76.535,73</t>
  </si>
  <si>
    <t>665.518,00</t>
  </si>
  <si>
    <t>PAB  Fixo / Telessaúde / Acolhimento Infanto Juvenil</t>
  </si>
  <si>
    <t>1.990,00</t>
  </si>
  <si>
    <t>-1.990,00</t>
  </si>
  <si>
    <t>1.286.962,30</t>
  </si>
  <si>
    <t>31.046,85</t>
  </si>
  <si>
    <t>1.318.009,15</t>
  </si>
  <si>
    <t>-31.711,61</t>
  </si>
  <si>
    <t>Limite financeiro da Vigilância em Saúde -  Incentivo para ações de prevenção de acidentes e violência / Ações práticas corporais - atividade física</t>
  </si>
  <si>
    <t>467,00</t>
  </si>
  <si>
    <t>-467,00</t>
  </si>
  <si>
    <t>1.170,02</t>
  </si>
  <si>
    <t>-1.170,02</t>
  </si>
  <si>
    <t>68.392.937,41</t>
  </si>
  <si>
    <t>29.440.639,33</t>
  </si>
  <si>
    <t>97.833.576,74</t>
  </si>
  <si>
    <t>23.204.118,82</t>
  </si>
  <si>
    <t>Disponibilidade Financeira do Recurso Vinculado - Julho de 2021</t>
  </si>
  <si>
    <t>Pagamentos Orçam. Efetuados</t>
  </si>
  <si>
    <t>Pagamentos de Restos Efetuados</t>
  </si>
  <si>
    <t>Total dos Pagamentos</t>
  </si>
  <si>
    <t>27.937.621,60</t>
  </si>
  <si>
    <t>34.713.529,25</t>
  </si>
  <si>
    <t>17.997.413,63</t>
  </si>
  <si>
    <t>3.018.630,63</t>
  </si>
  <si>
    <t>21.016.044,26</t>
  </si>
  <si>
    <t>11.603.822,79</t>
  </si>
  <si>
    <t>3.847.140,44</t>
  </si>
  <si>
    <t>3.868.462,88</t>
  </si>
  <si>
    <t>3.876.381,42</t>
  </si>
  <si>
    <t>912.225,09</t>
  </si>
  <si>
    <t>4.788.606,51</t>
  </si>
  <si>
    <t>-920.143,63</t>
  </si>
  <si>
    <t>14.485.329,75</t>
  </si>
  <si>
    <t>14.952.748,60</t>
  </si>
  <si>
    <t>11.222.727,68</t>
  </si>
  <si>
    <t>249.391,86</t>
  </si>
  <si>
    <t>11.472.119,54</t>
  </si>
  <si>
    <t>3.480.629,06</t>
  </si>
  <si>
    <t>6.667.541,11</t>
  </si>
  <si>
    <t>6.785.472,31</t>
  </si>
  <si>
    <t>9.541.030,74</t>
  </si>
  <si>
    <t>2.021.639,30</t>
  </si>
  <si>
    <t>11.562.670,04</t>
  </si>
  <si>
    <t>-4.777.197,73</t>
  </si>
  <si>
    <t>15.739.831,73</t>
  </si>
  <si>
    <t>48.775.494,82</t>
  </si>
  <si>
    <t>11.160.983,86</t>
  </si>
  <si>
    <t>654,00</t>
  </si>
  <si>
    <t>11.161.637,86</t>
  </si>
  <si>
    <t>37.613.856,96</t>
  </si>
  <si>
    <t>301.902,17</t>
  </si>
  <si>
    <t>534.088,50</t>
  </si>
  <si>
    <t>219.060,23</t>
  </si>
  <si>
    <t>315.028,27</t>
  </si>
  <si>
    <t>911.095,11</t>
  </si>
  <si>
    <t>1.427.413,59</t>
  </si>
  <si>
    <t>83.587,96</t>
  </si>
  <si>
    <t>65.062,83</t>
  </si>
  <si>
    <t>148.650,79</t>
  </si>
  <si>
    <t>1.278.762,80</t>
  </si>
  <si>
    <t>433.869,25</t>
  </si>
  <si>
    <t>812.289,14</t>
  </si>
  <si>
    <t>48.085,90</t>
  </si>
  <si>
    <t>49.463,13</t>
  </si>
  <si>
    <t>39.250,51</t>
  </si>
  <si>
    <t>69,10</t>
  </si>
  <si>
    <t>39.319,61</t>
  </si>
  <si>
    <t>10.143,52</t>
  </si>
  <si>
    <t>130.175,60</t>
  </si>
  <si>
    <t>807.873,08</t>
  </si>
  <si>
    <t>254.629,19</t>
  </si>
  <si>
    <t>28.661,56</t>
  </si>
  <si>
    <t>283.290,75</t>
  </si>
  <si>
    <t>524.582,33</t>
  </si>
  <si>
    <t>58.947,86</t>
  </si>
  <si>
    <t>1.785,40</t>
  </si>
  <si>
    <t>60.733,26</t>
  </si>
  <si>
    <t>101.804,30</t>
  </si>
  <si>
    <t>3.673,07</t>
  </si>
  <si>
    <t>75.425,19</t>
  </si>
  <si>
    <t>861,18</t>
  </si>
  <si>
    <t>78.624,06</t>
  </si>
  <si>
    <t>79.485,24</t>
  </si>
  <si>
    <t>-4.060,05</t>
  </si>
  <si>
    <t>256.642,77</t>
  </si>
  <si>
    <t>157.391,68</t>
  </si>
  <si>
    <t>414.034,45</t>
  </si>
  <si>
    <t>96.614,78</t>
  </si>
  <si>
    <t>41.445,36</t>
  </si>
  <si>
    <t>2.363,16</t>
  </si>
  <si>
    <t>43.808,52</t>
  </si>
  <si>
    <t>94.507,69</t>
  </si>
  <si>
    <t>11.121,47</t>
  </si>
  <si>
    <t>23.324,84</t>
  </si>
  <si>
    <t>18.339,69</t>
  </si>
  <si>
    <t>4.985,15</t>
  </si>
  <si>
    <t>2.325.282,41</t>
  </si>
  <si>
    <t>4.276.035,71</t>
  </si>
  <si>
    <t>3.055.379,89</t>
  </si>
  <si>
    <t>3.104.658,29</t>
  </si>
  <si>
    <t>1.171.377,42</t>
  </si>
  <si>
    <t>168.551,03</t>
  </si>
  <si>
    <t>50.220,00</t>
  </si>
  <si>
    <t>218.771,03</t>
  </si>
  <si>
    <t>106.523,37</t>
  </si>
  <si>
    <t>193.401,23</t>
  </si>
  <si>
    <t>50.718,30</t>
  </si>
  <si>
    <t>83.222,29</t>
  </si>
  <si>
    <t>3.435,16</t>
  </si>
  <si>
    <t>86.657,45</t>
  </si>
  <si>
    <t>153.404,15</t>
  </si>
  <si>
    <t>2.196.350,82</t>
  </si>
  <si>
    <t>3.252.526,00</t>
  </si>
  <si>
    <t>1.953.457,23</t>
  </si>
  <si>
    <t>53.583,02</t>
  </si>
  <si>
    <t>2.007.040,25</t>
  </si>
  <si>
    <t>1.245.485,75</t>
  </si>
  <si>
    <t>534.726,67</t>
  </si>
  <si>
    <t>578.723,36</t>
  </si>
  <si>
    <t>466.528,91</t>
  </si>
  <si>
    <t>19.945,08</t>
  </si>
  <si>
    <t>486.473,99</t>
  </si>
  <si>
    <t>92.249,37</t>
  </si>
  <si>
    <t>69.941,33</t>
  </si>
  <si>
    <t>193.446,18</t>
  </si>
  <si>
    <t>51.859,95</t>
  </si>
  <si>
    <t>382,00</t>
  </si>
  <si>
    <t>52.241,95</t>
  </si>
  <si>
    <t>141.204,23</t>
  </si>
  <si>
    <t>122.079,66</t>
  </si>
  <si>
    <t>233.770,52</t>
  </si>
  <si>
    <t>102.169,98</t>
  </si>
  <si>
    <t>113.179,18</t>
  </si>
  <si>
    <t>120.591,34</t>
  </si>
  <si>
    <t>68.763,41</t>
  </si>
  <si>
    <t>673.290,32</t>
  </si>
  <si>
    <t>1.130.112,34</t>
  </si>
  <si>
    <t>1.161.159,19</t>
  </si>
  <si>
    <t>125.138,35</t>
  </si>
  <si>
    <t>77.337.882,92</t>
  </si>
  <si>
    <t>130.685.248,45</t>
  </si>
  <si>
    <t>62.346.492,43</t>
  </si>
  <si>
    <t>6.809.544,83</t>
  </si>
  <si>
    <t>69.156.037,26</t>
  </si>
  <si>
    <t>59.435.548,99</t>
  </si>
  <si>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</si>
  <si>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</si>
  <si>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</si>
  <si>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</si>
  <si>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Junho 2021/Bimestre Maio-Junho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</si>
  <si>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</si>
  <si>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</si>
  <si>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</si>
  <si>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</si>
  <si>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</si>
  <si>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</si>
  <si>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</si>
  <si>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</si>
  <si>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</si>
  <si>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</si>
  <si>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</si>
  <si>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</si>
  <si>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</si>
  <si>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</si>
  <si>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</si>
  <si>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</si>
  <si>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</si>
  <si>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</si>
  <si>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</si>
  <si>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</si>
  <si>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</si>
  <si>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</si>
  <si>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</si>
  <si>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</si>
  <si>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</si>
  <si>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</si>
  <si>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</si>
  <si>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</si>
  <si>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</si>
  <si>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</si>
  <si>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</si>
  <si>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</si>
  <si>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</si>
  <si>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</si>
  <si>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</si>
  <si>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</si>
  <si>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</si>
  <si>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</si>
  <si>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</si>
  <si>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</si>
  <si>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</si>
  <si>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</si>
  <si>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</si>
  <si>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</si>
  <si>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</si>
  <si>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</si>
  <si>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RESTOS A PAGAR PROCESSADOS</t>
  </si>
  <si>
    <t>Poder Executivo</t>
  </si>
  <si>
    <t>Poder Legislativo</t>
  </si>
  <si>
    <t>RESTOS A PAGAR NÃO-PROCESSADOS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</si>
  <si>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</si>
  <si>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</si>
  <si>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</si>
  <si>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</si>
  <si>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</si>
  <si>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</si>
  <si>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</si>
  <si>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</si>
  <si>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</si>
  <si>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</si>
  <si>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</si>
  <si>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</si>
  <si>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</si>
  <si>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</si>
  <si>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</si>
  <si>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</si>
  <si>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</si>
  <si>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</si>
  <si>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</si>
  <si>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GOVBR RF - Responsabilidade Fiscal, SECRETARIA DE MUNICÍPIO DA FAZENDA, 28/Jul/2021, 09h e 13m.</t>
  </si>
  <si>
    <t>POSIÇÃO DAS OBRIGAÇÕES REALIZADAS ATÉ JUNHO DE 2021.</t>
  </si>
  <si>
    <t>Fonte: Relatório da "Situacao de Empenhos de Restos a Pagar Posicão até Junho/21"</t>
  </si>
  <si>
    <t>Restos a Pagar de exercícios anteriores pagos no período de Janeiro a junho de 2021, totalizou:</t>
  </si>
  <si>
    <t>com a Educação representa 25,19% e de Nº 10 que lida com a Saúde 22,35%, respectivamente da Despesa Total Líquidada.</t>
  </si>
  <si>
    <t>Período:Janeiro a Junho</t>
  </si>
  <si>
    <t>Empenhos de restos a Pagar</t>
  </si>
  <si>
    <t>Dedução a Menor para o FUNDEB no ICMS em R$ 19.373,86</t>
  </si>
  <si>
    <t>1º de Janeiro a 30 de Junho de 2021</t>
  </si>
  <si>
    <t>No PAD-SIAPC do TCE/RS o índice foi de 22,54% da Saúde.</t>
  </si>
  <si>
    <t>No PAD-SIAPC do TCE/RS o índice foi de 16,89% da Educação.</t>
  </si>
  <si>
    <r>
      <t xml:space="preserve">Outras Receitas Receitas Diretamente Arrecadadas pelo RPPS </t>
    </r>
    <r>
      <rPr>
        <sz val="6"/>
        <color theme="1"/>
        <rFont val="Calibri"/>
        <family val="2"/>
        <scheme val="minor"/>
      </rPr>
      <t>(1.2.1.8.03.1.1) 326</t>
    </r>
  </si>
  <si>
    <t>1. Dotações:</t>
  </si>
  <si>
    <t>2. Liquidado</t>
  </si>
  <si>
    <t>3. Pago:</t>
  </si>
  <si>
    <t>4. A Pagar = 2 - 3</t>
  </si>
  <si>
    <t>5. Saldo Inicial</t>
  </si>
  <si>
    <t>6. RAP Pago</t>
  </si>
  <si>
    <t>7. A liquidar</t>
  </si>
  <si>
    <t>8.Restos a Pagar=5-(6+7)</t>
  </si>
  <si>
    <t>PREFEITURA MUNICIPAL DE CACAPAVA DO SUL - RS  -  PODER EXECUTIVO</t>
  </si>
  <si>
    <t>RELATÓRIO DE GESTÃO FISCAL</t>
  </si>
  <si>
    <t>DEMONSTRATIVO SIMPLIFICADO DO RELATÓRIO DE GESTÃO FISCAL</t>
  </si>
  <si>
    <t>ORÇAMENTOS FISCAL E DA SEGURIDADE SOCIAL</t>
  </si>
  <si>
    <t>1º SEMESTRE DE 2021</t>
  </si>
  <si>
    <t>LRF, Art. 48 - Anexo 6</t>
  </si>
  <si>
    <t>R$ 1,00</t>
  </si>
  <si>
    <t>RECEITA CORRENTE LÍQUIDA</t>
  </si>
  <si>
    <t>VALOR ATÉ O QUADRIMESTRE/SEMESTRE</t>
  </si>
  <si>
    <t>Receita Corrente líquida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</si>
  <si>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</si>
  <si>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</si>
  <si>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</si>
  <si>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</si>
  <si>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</si>
  <si>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</si>
  <si>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</si>
  <si>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</si>
  <si>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SEMESTRE DE REFERÊNCIA</t>
  </si>
  <si>
    <t>Dívida Consolidada Líquida</t>
  </si>
  <si>
    <t>1.827.068,71</t>
  </si>
  <si>
    <t>1,66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</si>
  <si>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</si>
  <si>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</si>
  <si>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</si>
  <si>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</si>
  <si>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</si>
  <si>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</si>
  <si>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</si>
  <si>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</si>
  <si>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</si>
  <si>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FONTE: GOVBR RF - Responsabilidade Fiscal, SECRETARIA DE MUNICÍPIO DA FAZENDA, 28/Jul/2021, 12h e 46m.</t>
  </si>
  <si>
    <t>VII - RECEITA CORRENTE LÍQUIDA Endividamento) (VIII = V - VI)</t>
  </si>
  <si>
    <t>Prefeitura Municipal de Cacapava do Sul-RS</t>
  </si>
  <si>
    <t>Página 1 de 3</t>
  </si>
  <si>
    <t>Balanço Orçamentário</t>
  </si>
  <si>
    <t>Orçamento Fiscal e da Seguridade Social</t>
  </si>
  <si>
    <t>RREO - Anexo 1 (LRF, Art. 52, inciso I, alineas "a" e "b" do inciso II e §1º)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</si>
  <si>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</si>
  <si>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</si>
  <si>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</si>
  <si>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</si>
  <si>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</si>
  <si>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</si>
  <si>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</si>
  <si>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</si>
  <si>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INTRAORÇAMENTÁRIAS) (I)</t>
  </si>
  <si>
    <t>122.816.285,74</t>
  </si>
  <si>
    <t>125.567.125,12</t>
  </si>
  <si>
    <t>19.149.437,34</t>
  </si>
  <si>
    <t>15,25</t>
  </si>
  <si>
    <t>56.662.156,57</t>
  </si>
  <si>
    <t>45,12</t>
  </si>
  <si>
    <t>68.904.968,55</t>
  </si>
  <si>
    <t>121.126.571,23</t>
  </si>
  <si>
    <t>123.877.410,61</t>
  </si>
  <si>
    <t>18.802.777,72</t>
  </si>
  <si>
    <t>15,18</t>
  </si>
  <si>
    <t>56.312.408,96</t>
  </si>
  <si>
    <t>45,46</t>
  </si>
  <si>
    <t>67.565.001,65</t>
  </si>
  <si>
    <t>Impostos, Taxas e Contribuições de Melhoria</t>
  </si>
  <si>
    <t>16.660.976,72</t>
  </si>
  <si>
    <t>2.021.546,81</t>
  </si>
  <si>
    <t>12,13</t>
  </si>
  <si>
    <t>6.964.815,71</t>
  </si>
  <si>
    <t>41,80</t>
  </si>
  <si>
    <t>9.696.161,01</t>
  </si>
  <si>
    <t>Impostos</t>
  </si>
  <si>
    <t>14.327.900,03</t>
  </si>
  <si>
    <t>1.962.688,49</t>
  </si>
  <si>
    <t>13,70</t>
  </si>
  <si>
    <t>6.607.780,34</t>
  </si>
  <si>
    <t>46,12</t>
  </si>
  <si>
    <t>7.720.119,69</t>
  </si>
  <si>
    <t>Taxas</t>
  </si>
  <si>
    <t>1.336.827,53</t>
  </si>
  <si>
    <t>58.858,24</t>
  </si>
  <si>
    <t>4,40</t>
  </si>
  <si>
    <t>357.035,12</t>
  </si>
  <si>
    <t>26,71</t>
  </si>
  <si>
    <t>979.792,41</t>
  </si>
  <si>
    <t>Contribuição de Melhoria</t>
  </si>
  <si>
    <t>996.249,16</t>
  </si>
  <si>
    <t>0,08</t>
  </si>
  <si>
    <t>0,25</t>
  </si>
  <si>
    <t>996.248,91</t>
  </si>
  <si>
    <t>Contribuições</t>
  </si>
  <si>
    <t>6.515.567,25</t>
  </si>
  <si>
    <t>1.224.700,91</t>
  </si>
  <si>
    <t>18,80</t>
  </si>
  <si>
    <t>3.746.498,07</t>
  </si>
  <si>
    <t>57,50</t>
  </si>
  <si>
    <t>2.769.069,18</t>
  </si>
  <si>
    <t>Contribuições Sociais</t>
  </si>
  <si>
    <t>5.583.836,41</t>
  </si>
  <si>
    <t>1.054.800,17</t>
  </si>
  <si>
    <t>18,89</t>
  </si>
  <si>
    <t>3.232.771,31</t>
  </si>
  <si>
    <t>57,90</t>
  </si>
  <si>
    <t>2.351.065,10</t>
  </si>
  <si>
    <t>Contribuição para o Custeio do Serviço de Iluminação Pública</t>
  </si>
  <si>
    <t>931.730,84</t>
  </si>
  <si>
    <t>169.900,74</t>
  </si>
  <si>
    <t>18,23</t>
  </si>
  <si>
    <t>513.726,76</t>
  </si>
  <si>
    <t>55,14</t>
  </si>
  <si>
    <t>418.004,08</t>
  </si>
  <si>
    <t>Receita Patrimonial</t>
  </si>
  <si>
    <t>6.420.844,14</t>
  </si>
  <si>
    <t>219.241,76</t>
  </si>
  <si>
    <t>3,41</t>
  </si>
  <si>
    <t>491.344,87</t>
  </si>
  <si>
    <t>7,65</t>
  </si>
  <si>
    <t>5.929.499,27</t>
  </si>
  <si>
    <t>Exploração do Patrimônio Imobiliário do Estado</t>
  </si>
  <si>
    <t>156.935,38</t>
  </si>
  <si>
    <t>1.280,80</t>
  </si>
  <si>
    <t>0,82</t>
  </si>
  <si>
    <t>5.075,63</t>
  </si>
  <si>
    <t>3,23</t>
  </si>
  <si>
    <t>151.859,75</t>
  </si>
  <si>
    <t>Valores Mobiliários</t>
  </si>
  <si>
    <t>6.263.908,76</t>
  </si>
  <si>
    <t>217.960,96</t>
  </si>
  <si>
    <t>3,48</t>
  </si>
  <si>
    <t>486.269,24</t>
  </si>
  <si>
    <t>7,76</t>
  </si>
  <si>
    <t>5.777.639,52</t>
  </si>
  <si>
    <t>Receita Agropecuária</t>
  </si>
  <si>
    <t>403.236,70</t>
  </si>
  <si>
    <t>19.800,66</t>
  </si>
  <si>
    <t>4,91</t>
  </si>
  <si>
    <t>45.510,51</t>
  </si>
  <si>
    <t>11,29</t>
  </si>
  <si>
    <t>357.726,19</t>
  </si>
  <si>
    <t>Receita de Serviços</t>
  </si>
  <si>
    <t>475.566,36</t>
  </si>
  <si>
    <t>72.777,28</t>
  </si>
  <si>
    <t>15,30</t>
  </si>
  <si>
    <t>205.639,95</t>
  </si>
  <si>
    <t>43,24</t>
  </si>
  <si>
    <t>269.926,41</t>
  </si>
  <si>
    <t>Serviços e Atividades Referentes à Saúde</t>
  </si>
  <si>
    <t>Transferências Correntes</t>
  </si>
  <si>
    <t>83.773.000,01</t>
  </si>
  <si>
    <t>86.523.839,39</t>
  </si>
  <si>
    <t>14.896.148,48</t>
  </si>
  <si>
    <t>17,22</t>
  </si>
  <si>
    <t>43.922.504,32</t>
  </si>
  <si>
    <t>50,76</t>
  </si>
  <si>
    <t>42.601.335,07</t>
  </si>
  <si>
    <t>Transferências da União e de suas Entidades</t>
  </si>
  <si>
    <t>32.545.737,49</t>
  </si>
  <si>
    <t>5.097.060,23</t>
  </si>
  <si>
    <t>15,66</t>
  </si>
  <si>
    <t>15.230.785,75</t>
  </si>
  <si>
    <t>46,80</t>
  </si>
  <si>
    <t>17.314.951,74</t>
  </si>
  <si>
    <t>Transf dos Estados e do Distrito Federal e de suas Entidades</t>
  </si>
  <si>
    <t>28.750.978,52</t>
  </si>
  <si>
    <t>5.501.641,52</t>
  </si>
  <si>
    <t>19,14</t>
  </si>
  <si>
    <t>15.805.426,51</t>
  </si>
  <si>
    <t>54,97</t>
  </si>
  <si>
    <t>12.945.552,01</t>
  </si>
  <si>
    <t>Transferências dos Municípios e de suas Entidades</t>
  </si>
  <si>
    <t>3.100.000,00</t>
  </si>
  <si>
    <t>5.608,14</t>
  </si>
  <si>
    <t>16.824,42</t>
  </si>
  <si>
    <t>0,54</t>
  </si>
  <si>
    <t>3.083.175,58</t>
  </si>
  <si>
    <t>Transferências de Instituições Privadas</t>
  </si>
  <si>
    <t>4,00</t>
  </si>
  <si>
    <t>Transferências de Outras Instituições Públicas</t>
  </si>
  <si>
    <t>19.076.280,00</t>
  </si>
  <si>
    <t>21.827.119,38</t>
  </si>
  <si>
    <t>4.289.388,59</t>
  </si>
  <si>
    <t>19,65</t>
  </si>
  <si>
    <t>12.865.617,64</t>
  </si>
  <si>
    <t>58,94</t>
  </si>
  <si>
    <t>8.961.501,74</t>
  </si>
  <si>
    <t>Transferências de Pessoas Físicas</t>
  </si>
  <si>
    <t>300.000,00</t>
  </si>
  <si>
    <t>2.450,00</t>
  </si>
  <si>
    <t>3.850,00</t>
  </si>
  <si>
    <t>296.150,00</t>
  </si>
  <si>
    <t>Outras Receitas Correntes</t>
  </si>
  <si>
    <t>6.877.380,05</t>
  </si>
  <si>
    <t>348.561,82</t>
  </si>
  <si>
    <t>5,07</t>
  </si>
  <si>
    <t>936.095,53</t>
  </si>
  <si>
    <t>13,61</t>
  </si>
  <si>
    <t>5.941.284,52</t>
  </si>
  <si>
    <t>Multas Administrativas, Contratuais e Judiciais</t>
  </si>
  <si>
    <t>80.000,00</t>
  </si>
  <si>
    <t>18.101,94</t>
  </si>
  <si>
    <t>22,63</t>
  </si>
  <si>
    <t>31.764,33</t>
  </si>
  <si>
    <t>39,71</t>
  </si>
  <si>
    <t>48.235,67</t>
  </si>
  <si>
    <t>Indenizações, Restituições e Ressarcimentos</t>
  </si>
  <si>
    <t>3.720.664,90</t>
  </si>
  <si>
    <t>7.322,34</t>
  </si>
  <si>
    <t>0,20</t>
  </si>
  <si>
    <t>33.764,22</t>
  </si>
  <si>
    <t>0,91</t>
  </si>
  <si>
    <t>3.686.900,68</t>
  </si>
  <si>
    <t>Demais Receitas Correntes</t>
  </si>
  <si>
    <t>3.076.715,15</t>
  </si>
  <si>
    <t>323.137,54</t>
  </si>
  <si>
    <t>10,50</t>
  </si>
  <si>
    <t>870.566,98</t>
  </si>
  <si>
    <t>28,30</t>
  </si>
  <si>
    <t>2.206.148,17</t>
  </si>
  <si>
    <t>Receitas de Capital</t>
  </si>
  <si>
    <t>1.689.714,51</t>
  </si>
  <si>
    <t>346.659,62</t>
  </si>
  <si>
    <t>20,52</t>
  </si>
  <si>
    <t>349.747,61</t>
  </si>
  <si>
    <t>20,70</t>
  </si>
  <si>
    <t>1.339.966,90</t>
  </si>
  <si>
    <t>Amortização de Empréstimos</t>
  </si>
  <si>
    <t>60.000,00</t>
  </si>
  <si>
    <t>263,85</t>
  </si>
  <si>
    <t>0,44</t>
  </si>
  <si>
    <t>351,80</t>
  </si>
  <si>
    <t>59.648,20</t>
  </si>
  <si>
    <t>Transferências de Capital</t>
  </si>
  <si>
    <t>1.618.818,66</t>
  </si>
  <si>
    <t>340.066,03</t>
  </si>
  <si>
    <t>21,01</t>
  </si>
  <si>
    <t>1.278.752,63</t>
  </si>
  <si>
    <t>1.598.818,66</t>
  </si>
  <si>
    <t>290.066,03</t>
  </si>
  <si>
    <t>18,14</t>
  </si>
  <si>
    <t>1.308.752,63</t>
  </si>
  <si>
    <t>20.000,00</t>
  </si>
  <si>
    <t>50.000,00</t>
  </si>
  <si>
    <t>250,00</t>
  </si>
  <si>
    <t>(30.000,00)</t>
  </si>
  <si>
    <t>Outras Receitas de Capital</t>
  </si>
  <si>
    <t>10.895,85</t>
  </si>
  <si>
    <t>6.329,74</t>
  </si>
  <si>
    <t>58,09</t>
  </si>
  <si>
    <t>9.329,78</t>
  </si>
  <si>
    <t>85,63</t>
  </si>
  <si>
    <t>1.566,07</t>
  </si>
  <si>
    <t>Demais Receitas de Capital</t>
  </si>
  <si>
    <t>Receitas de Capital Intraorçamentárias</t>
  </si>
  <si>
    <t>16.100,00</t>
  </si>
  <si>
    <t>RECEITAS (INTRAORÇAMENTÁRIAS) (II)</t>
  </si>
  <si>
    <t>17.545.424,53</t>
  </si>
  <si>
    <t>4.112.522,50</t>
  </si>
  <si>
    <t>23,44</t>
  </si>
  <si>
    <t>13.121.835,66</t>
  </si>
  <si>
    <t>74,79</t>
  </si>
  <si>
    <t>4.423.588,87</t>
  </si>
  <si>
    <t>SUBTOTAL DAS RECEITAS (III) = (I + II)</t>
  </si>
  <si>
    <t>140.361.710,27</t>
  </si>
  <si>
    <t>143.112.549,65</t>
  </si>
  <si>
    <t>23.261.959,84</t>
  </si>
  <si>
    <t>16,25</t>
  </si>
  <si>
    <t>48,76</t>
  </si>
  <si>
    <t>73.328.557,42</t>
  </si>
  <si>
    <t>OPERAÇÕES DE CRÉDITO / REFINANCIAMENTO (IV)</t>
  </si>
  <si>
    <t>Página 2 de 3</t>
  </si>
  <si>
    <t>Operações de Crédito - Mercado Interno</t>
  </si>
  <si>
    <t>Operações de Crédito - Mercado Externo</t>
  </si>
  <si>
    <t>TOTAL DAS RECEITAS (V) = (III + IV)</t>
  </si>
  <si>
    <t>DÉFICIT (VI)¹</t>
  </si>
  <si>
    <t>TOTAL COM DÉFICIT (VII) = (V + VI)</t>
  </si>
  <si>
    <t>SALDOS DE EXERCÍCIOS ANTERIORES</t>
  </si>
  <si>
    <t>3.035.789,01</t>
  </si>
  <si>
    <t>Superávit Financeiro Utilizado para Créditos Adicionais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</si>
  <si>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</si>
  <si>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</si>
  <si>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</si>
  <si>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</si>
  <si>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</si>
  <si>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</si>
  <si>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</si>
  <si>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</si>
  <si>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</si>
  <si>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</si>
  <si>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</si>
  <si>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</si>
  <si>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110.886.712,01</t>
  </si>
  <si>
    <t>116.423.501,40</t>
  </si>
  <si>
    <t>16.140.534,95</t>
  </si>
  <si>
    <t>57.106.629,54</t>
  </si>
  <si>
    <t>59.316.871,86</t>
  </si>
  <si>
    <t>17.950.321,79</t>
  </si>
  <si>
    <t>51.235.435,92</t>
  </si>
  <si>
    <t>65.188.065,48</t>
  </si>
  <si>
    <t>48.910.795,48</t>
  </si>
  <si>
    <t>DESPESAS CORRENTES</t>
  </si>
  <si>
    <t>106.197.640,80</t>
  </si>
  <si>
    <t>111.741.220,26</t>
  </si>
  <si>
    <t>15.932.543,84</t>
  </si>
  <si>
    <t>56.606.227,05</t>
  </si>
  <si>
    <t>55.134.993,21</t>
  </si>
  <si>
    <t>17.807.831,84</t>
  </si>
  <si>
    <t>51.033.992,29</t>
  </si>
  <si>
    <t>60.707.227,97</t>
  </si>
  <si>
    <t>48.730.002,75</t>
  </si>
  <si>
    <t>PESSOAL E ENCARGOS SOCIAIS</t>
  </si>
  <si>
    <t>73.555.477,31</t>
  </si>
  <si>
    <t>75.671.705,27</t>
  </si>
  <si>
    <t>11.244.680,38</t>
  </si>
  <si>
    <t>34.813.979,37</t>
  </si>
  <si>
    <t>40.857.725,90</t>
  </si>
  <si>
    <t>11.261.959,07</t>
  </si>
  <si>
    <t>34.723.063,18</t>
  </si>
  <si>
    <t>40.948.642,09</t>
  </si>
  <si>
    <t>34.267.746,83</t>
  </si>
  <si>
    <t>JUROS E ENCARGOS DA DÍVIDA</t>
  </si>
  <si>
    <t>48.629,00</t>
  </si>
  <si>
    <t>39.053,84</t>
  </si>
  <si>
    <t>9.575,16</t>
  </si>
  <si>
    <t>16.737,36</t>
  </si>
  <si>
    <t>33.474,72</t>
  </si>
  <si>
    <t>15.154,28</t>
  </si>
  <si>
    <t>OUTRAS DESPESAS CORRENTES</t>
  </si>
  <si>
    <t>32.593.534,49</t>
  </si>
  <si>
    <t>36.020.885,99</t>
  </si>
  <si>
    <t>4.687.863,46</t>
  </si>
  <si>
    <t>21.753.193,84</t>
  </si>
  <si>
    <t>14.267.692,15</t>
  </si>
  <si>
    <t>6.529.135,41</t>
  </si>
  <si>
    <t>16.277.454,39</t>
  </si>
  <si>
    <t>19.743.431,60</t>
  </si>
  <si>
    <t>14.428.781,20</t>
  </si>
  <si>
    <t>DESPESAS DE CAPITAL</t>
  </si>
  <si>
    <t>3.375.300,70</t>
  </si>
  <si>
    <t>4.673.296,96</t>
  </si>
  <si>
    <t>207.991,11</t>
  </si>
  <si>
    <t>500.402,49</t>
  </si>
  <si>
    <t>4.172.894,47</t>
  </si>
  <si>
    <t>142.489,95</t>
  </si>
  <si>
    <t>201.443,63</t>
  </si>
  <si>
    <t>4.471.853,33</t>
  </si>
  <si>
    <t>180.792,73</t>
  </si>
  <si>
    <t>INVESTIMENTOS</t>
  </si>
  <si>
    <t>3.113.464,32</t>
  </si>
  <si>
    <t>4.511.350,58</t>
  </si>
  <si>
    <t>4.010.948,09</t>
  </si>
  <si>
    <t>4.309.906,95</t>
  </si>
  <si>
    <t>INVERSÕES FINANCEIRAS</t>
  </si>
  <si>
    <t>12.563,00</t>
  </si>
  <si>
    <t>12.573,00</t>
  </si>
  <si>
    <t>AMORTIZAÇÃO DA DÍVIDA</t>
  </si>
  <si>
    <t>249.273,38</t>
  </si>
  <si>
    <t>149.373,38</t>
  </si>
  <si>
    <t>RESERVA DE CONTINGÊNCIA</t>
  </si>
  <si>
    <t>1.313.770,51</t>
  </si>
  <si>
    <t>8.984,18</t>
  </si>
  <si>
    <t>DESPESAS (INTRAORÇAMENTÁRIAS) (IX)</t>
  </si>
  <si>
    <t>26.505.978,60</t>
  </si>
  <si>
    <t>27.219.067,60</t>
  </si>
  <si>
    <t>3.706.028,88</t>
  </si>
  <si>
    <t>11.286.307,87</t>
  </si>
  <si>
    <t>15.932.759,73</t>
  </si>
  <si>
    <t>9.486.086,03</t>
  </si>
  <si>
    <t>SUBTOTAL DAS DESPESAS (X) = (VIII + IX)</t>
  </si>
  <si>
    <t>137.392.690,61</t>
  </si>
  <si>
    <t>143.642.569,00</t>
  </si>
  <si>
    <t>19.846.563,83</t>
  </si>
  <si>
    <t>75.249.631,59</t>
  </si>
  <si>
    <t>21.656.350,67</t>
  </si>
  <si>
    <t>81.120.825,21</t>
  </si>
  <si>
    <t>58.396.881,51</t>
  </si>
  <si>
    <t>AMORTIZAÇÃO DA DÍV. / REFINANCIAMENTO (XI)</t>
  </si>
  <si>
    <t>Amortização da Dívida Interna</t>
  </si>
  <si>
    <t>Amortização da Dívida Externa</t>
  </si>
  <si>
    <t>TOTAL DAS DESPESAS (XII) = (X + XI)</t>
  </si>
  <si>
    <t>SUPERÁVIT (XIII)</t>
  </si>
  <si>
    <t>1.391.054,82</t>
  </si>
  <si>
    <t>7.262.248,44</t>
  </si>
  <si>
    <t>11.387.110,72</t>
  </si>
  <si>
    <t>TOTAL COM SUPERÁVIT (XIV) = (XII + XIII)</t>
  </si>
  <si>
    <t>RESERVA DO RPPS</t>
  </si>
  <si>
    <t>2.985.119,66</t>
  </si>
  <si>
    <t>Página 3 de 3</t>
  </si>
  <si>
    <t>RECEITAS INTRAORÇAMENTÁRIAS</t>
  </si>
  <si>
    <t>Receitas Correntes Intraorçamentárias</t>
  </si>
  <si>
    <t>17.003.424,53</t>
  </si>
  <si>
    <t>24,19</t>
  </si>
  <si>
    <t>13.105.507,45</t>
  </si>
  <si>
    <t>3.897.917,08</t>
  </si>
  <si>
    <t>7.617.038,59</t>
  </si>
  <si>
    <t>1.665.122,99</t>
  </si>
  <si>
    <t>21,86</t>
  </si>
  <si>
    <t>5.958.155,73</t>
  </si>
  <si>
    <t>1.658.882,86</t>
  </si>
  <si>
    <t>9.386.385,94</t>
  </si>
  <si>
    <t>2.447.399,51</t>
  </si>
  <si>
    <t>26,07</t>
  </si>
  <si>
    <t>7.147.351,72</t>
  </si>
  <si>
    <t>2.239.034,22</t>
  </si>
  <si>
    <t>542.000,00</t>
  </si>
  <si>
    <t>16.328,21</t>
  </si>
  <si>
    <t>525.671,79</t>
  </si>
  <si>
    <t>DESPESAS INTRAORÇAMENTÁRIAS</t>
  </si>
  <si>
    <t>26.505.934,60</t>
  </si>
  <si>
    <t>27.219.023,60</t>
  </si>
  <si>
    <t>15.932.715,73</t>
  </si>
  <si>
    <t>24.634.803,56</t>
  </si>
  <si>
    <t>25.320.892,56</t>
  </si>
  <si>
    <t>3.440.438,39</t>
  </si>
  <si>
    <t>10.489.593,83</t>
  </si>
  <si>
    <t>14.831.298,73</t>
  </si>
  <si>
    <t>8.821.454,36</t>
  </si>
  <si>
    <t>2,00</t>
  </si>
  <si>
    <t>1.871.129,04</t>
  </si>
  <si>
    <t>1.898.129,04</t>
  </si>
  <si>
    <t>265.590,49</t>
  </si>
  <si>
    <t>796.714,04</t>
  </si>
  <si>
    <t>1.101.415,00</t>
  </si>
  <si>
    <t>664.631,67</t>
  </si>
  <si>
    <t>44,00</t>
  </si>
  <si>
    <t>FONTE: GOVBR RF - Responsabilidade Fiscal, SECRETARIA DE MUNICÍPIO DA FAZENDA, 28/Jul/2021, 13h e 20m.</t>
  </si>
  <si>
    <t>1 O déficit será apurado pela diferença entre a receita realizada e a despesa liquidada nos cinco primeiros bimestres e a despesa empenhada no último bimestre.</t>
  </si>
  <si>
    <t>Relatório Resumido de Execução Orçamentária</t>
  </si>
  <si>
    <t>Demonstrativo da Execução das Despesas por Função/Subfunção</t>
  </si>
  <si>
    <t>RREO - ANEXO 2 (LRF, Art. 52, inciso II, alínea 'c')</t>
  </si>
  <si>
    <t>FUNÇÃO/SUBFUNÇÃO</t>
  </si>
  <si>
    <t>Dotação</t>
  </si>
  <si>
    <t>SALDO</t>
  </si>
  <si>
    <t xml:space="preserve">Saldo </t>
  </si>
  <si>
    <t>Inicial</t>
  </si>
  <si>
    <t>Atualizada</t>
  </si>
  <si>
    <t xml:space="preserve"> </t>
  </si>
  <si>
    <t>(b/total b)</t>
  </si>
  <si>
    <t>(c)=(a-b)</t>
  </si>
  <si>
    <t>(d)</t>
  </si>
  <si>
    <t>(d/Total d)</t>
  </si>
  <si>
    <t>(e)=(a-d)</t>
  </si>
  <si>
    <t>DESPESAS(EXCETO INTRAORÇAMENTÁRIAS)(I)</t>
  </si>
  <si>
    <t>Legislativa</t>
  </si>
  <si>
    <t>Ação Legislativa</t>
  </si>
  <si>
    <t>Previdência Básica</t>
  </si>
  <si>
    <t>Essencial à Justiça</t>
  </si>
  <si>
    <t>Representação Judicial e Extrajudicial</t>
  </si>
  <si>
    <t>Administração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</si>
  <si>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</si>
  <si>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</si>
  <si>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</si>
  <si>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</si>
  <si>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</si>
  <si>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</si>
  <si>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</si>
  <si>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</si>
  <si>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Proteção e Benefícios ao Trabalhador</t>
  </si>
  <si>
    <t>Turismo</t>
  </si>
  <si>
    <t>Segurança Pública</t>
  </si>
  <si>
    <t>Defesa Terrestre</t>
  </si>
  <si>
    <t>Defesa Civil</t>
  </si>
  <si>
    <t>Serviços Urbanos</t>
  </si>
  <si>
    <t>Assistência Social</t>
  </si>
  <si>
    <t>Assistência ao Idoso</t>
  </si>
  <si>
    <t>Assistência ao Portador de Deficiência</t>
  </si>
  <si>
    <t>Assistência à Criança e ao Adolescente</t>
  </si>
  <si>
    <t>Assistência Comunitária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</si>
  <si>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</si>
  <si>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</si>
  <si>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</si>
  <si>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</si>
  <si>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</si>
  <si>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</si>
  <si>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</si>
  <si>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</si>
  <si>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Trabalho</t>
  </si>
  <si>
    <t>Educação</t>
  </si>
  <si>
    <t>Ensino Fundamental</t>
  </si>
  <si>
    <t>Ensino Médio</t>
  </si>
  <si>
    <t>Ensino Superior</t>
  </si>
  <si>
    <t>Educação Infantil</t>
  </si>
  <si>
    <t>Educação de Jovens e Adultos</t>
  </si>
  <si>
    <t>Educação Especial</t>
  </si>
  <si>
    <t>Preservação e Conservação Ambiental</t>
  </si>
  <si>
    <t>Cultura</t>
  </si>
  <si>
    <t>Patrimônio Histórico, Artístico e Arqueológico</t>
  </si>
  <si>
    <t>Difusão Cultural</t>
  </si>
  <si>
    <t>Direitos da Cidadania</t>
  </si>
  <si>
    <t>Direitos Individuais, Coletivos e Difusos</t>
  </si>
  <si>
    <t>Urbanismo</t>
  </si>
  <si>
    <t>Infra-estrutura Urbana</t>
  </si>
  <si>
    <t>Habitação</t>
  </si>
  <si>
    <t>Habitação Urbana</t>
  </si>
  <si>
    <t>Saneamento</t>
  </si>
  <si>
    <t>Saneamento Básico Rural</t>
  </si>
  <si>
    <t>Saneamento Básico Urbano</t>
  </si>
  <si>
    <t>Gestão Ambiental</t>
  </si>
  <si>
    <t>Controle Ambiental</t>
  </si>
  <si>
    <t>Abastecimento</t>
  </si>
  <si>
    <t>Agricultura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</si>
  <si>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</si>
  <si>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</si>
  <si>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</si>
  <si>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</si>
  <si>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</si>
  <si>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</si>
  <si>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</si>
  <si>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</si>
  <si>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</si>
  <si>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</si>
  <si>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Transporte Rodoviário</t>
  </si>
  <si>
    <t>Desporto e Lazer</t>
  </si>
  <si>
    <t>Desporto Comunitário</t>
  </si>
  <si>
    <t>Encargos Especiais</t>
  </si>
  <si>
    <t>Outros Encargos Especiais</t>
  </si>
  <si>
    <t>Reserva de Contingência</t>
  </si>
  <si>
    <t>DESPESAS INTRAORÇAMENTÁRIAS (II)</t>
  </si>
  <si>
    <t>TOTAL (III)=(I+II)</t>
  </si>
  <si>
    <t>100,00</t>
  </si>
  <si>
    <t>DESPESAS(INTRAORÇAMENTÁRIAS) (II)</t>
  </si>
  <si>
    <t>FONTE: GOVBR RF - Responsabilidade Fiscal, SECRETARIA DE MUNICÍPIO DA FAZENDA, 28/Jul/2021, 13h e 22m.</t>
  </si>
  <si>
    <t>Página 1 de 5</t>
  </si>
  <si>
    <t>RELATÓRIO RESUMIDO DA EXECUÇÃO ORÇAMENTÁRIA</t>
  </si>
  <si>
    <t>DEMONSTRATIVO DAS RECEITAS E DESPESAS PREVIDENCIÁRIAS E DAS RECEITAS E DESPESAS ASSOCIADAS ÀS PENSÕES E INATIVOS MILITARES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</si>
  <si>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</si>
  <si>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</si>
  <si>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</si>
  <si>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</si>
  <si>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</si>
  <si>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</si>
  <si>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</si>
  <si>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RECEITAS CORRENTES (I)</t>
  </si>
  <si>
    <t>25.237.106,94</t>
  </si>
  <si>
    <t>15.218.691,89</t>
  </si>
  <si>
    <t>Receita de Contribuições dos Segurados</t>
  </si>
  <si>
    <t>3.941.823,91</t>
  </si>
  <si>
    <t>2.415.476,49</t>
  </si>
  <si>
    <t>Ativo</t>
  </si>
  <si>
    <t>3.914.085,33</t>
  </si>
  <si>
    <t>1.839.250,57</t>
  </si>
  <si>
    <t>Inativo</t>
  </si>
  <si>
    <t>20.075,63</t>
  </si>
  <si>
    <t>459.340,64</t>
  </si>
  <si>
    <t>Pensionista</t>
  </si>
  <si>
    <t>7.662,95</t>
  </si>
  <si>
    <t>116.885,28</t>
  </si>
  <si>
    <t>Receita de Contribuições Patronais</t>
  </si>
  <si>
    <t>6.266.399,10</t>
  </si>
  <si>
    <t>5.081.427,69</t>
  </si>
  <si>
    <t>6.217.865,80</t>
  </si>
  <si>
    <t>4.112.268,02</t>
  </si>
  <si>
    <t>34.754,23</t>
  </si>
  <si>
    <t>796.310,74</t>
  </si>
  <si>
    <t>13.779,07</t>
  </si>
  <si>
    <t>172.848,93</t>
  </si>
  <si>
    <t>5.623.474,12</t>
  </si>
  <si>
    <t>409.468,15</t>
  </si>
  <si>
    <t>Receitas Imobiliárias</t>
  </si>
  <si>
    <t>Receitas de Valores Mobiliários</t>
  </si>
  <si>
    <t>Outras Receitas Patrimoniais</t>
  </si>
  <si>
    <t>9.405.409,81</t>
  </si>
  <si>
    <t>7.312.319,56</t>
  </si>
  <si>
    <t>Compensação Financeira entre os regimes</t>
  </si>
  <si>
    <t>10.000,00</t>
  </si>
  <si>
    <t>164.967,84</t>
  </si>
  <si>
    <t>Aportes Periódicos para Amortização de Déficit Atuarial do RPPS (II)¹</t>
  </si>
  <si>
    <t>9.023,87</t>
  </si>
  <si>
    <t>RECEITAS DE CAPITAL (III)</t>
  </si>
  <si>
    <t>Alienação de Bens, Direitos e Ativos</t>
  </si>
  <si>
    <t>TOTAL DAS RECEITAS DO FUNDO EM CAPITALIZAÇÃO - (IV) = (I+III-II)</t>
  </si>
  <si>
    <t>15.850.721,00</t>
  </si>
  <si>
    <t>8.071.340,17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</si>
  <si>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</si>
  <si>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</si>
  <si>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</si>
  <si>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</si>
  <si>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</si>
  <si>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</si>
  <si>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</si>
  <si>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22.735.580,90</t>
  </si>
  <si>
    <t>11.148.031,40</t>
  </si>
  <si>
    <t>11.140.865,25</t>
  </si>
  <si>
    <t>Aposentadorias</t>
  </si>
  <si>
    <t>20.130.620,30</t>
  </si>
  <si>
    <t>9.878.452,00</t>
  </si>
  <si>
    <t>9.871.860,35</t>
  </si>
  <si>
    <t>Pensões por Morte</t>
  </si>
  <si>
    <t>2.604.960,60</t>
  </si>
  <si>
    <t>1.269.579,40</t>
  </si>
  <si>
    <t>1.269.004,90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</si>
  <si>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</si>
  <si>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</si>
  <si>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</si>
  <si>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</si>
  <si>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(6.884.859,90)</t>
  </si>
  <si>
    <t>(3.076.691,23)</t>
  </si>
  <si>
    <t>(3.069.525,08)</t>
  </si>
  <si>
    <t>Página 2 de 5</t>
  </si>
  <si>
    <t>RECURSOS RPPS ARRECADADOS EM EXERCÍCIOS ANTERIORES</t>
  </si>
  <si>
    <t>PREVISÃO ORÇAMENTÁRIA</t>
  </si>
  <si>
    <t>RESERVA ORÇAMENTÁRIA DO RPPS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</si>
  <si>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</si>
  <si>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</si>
  <si>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</si>
  <si>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</si>
  <si>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</si>
  <si>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</si>
  <si>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</si>
  <si>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</si>
  <si>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</si>
  <si>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(2.322.944,28)</t>
  </si>
  <si>
    <t>Investimentos e Aplicações</t>
  </si>
  <si>
    <t>35.480.656,82</t>
  </si>
  <si>
    <t>Outros Bens e Direitos</t>
  </si>
  <si>
    <t>Página 3 de 5</t>
  </si>
  <si>
    <t>FUNDO EM REPARTIÇÃO (PLANO FINANCEIRO)</t>
  </si>
  <si>
    <t>RECEITAS PREVIDENCIÁRIAS - RPPS (FUNDO EM REPARTIÇÃO)</t>
  </si>
  <si>
    <t>RECEITAS CORRENTES (VII)</t>
  </si>
  <si>
    <t>Compensação Previdenciária entre os regimes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</si>
  <si>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</si>
  <si>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</si>
  <si>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</si>
  <si>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</si>
  <si>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</si>
  <si>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</si>
  <si>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</si>
  <si>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</si>
  <si>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</si>
  <si>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</si>
  <si>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ADMINISTRAÇÃO DO REGIME PRÓPRIO DE PREVIDÊNICA DOS SERVIDORES - RPPS</t>
  </si>
  <si>
    <t>RECEITAS DA ADMINISTRAÇÃO - RPPS</t>
  </si>
  <si>
    <t>135.493,62</t>
  </si>
  <si>
    <t>81.035,70</t>
  </si>
  <si>
    <t>TOTAL DAS RECEITAS DA ADMINISTRAÇÃO RPPS (XII)</t>
  </si>
  <si>
    <t>DESPESAS DA ADMINISTRAÇÃO - RPPS</t>
  </si>
  <si>
    <t>DOTAÇÃO 
ATUALIZADA
(c)</t>
  </si>
  <si>
    <t>Despesas Correntes (XIII)</t>
  </si>
  <si>
    <t>71.520,00</t>
  </si>
  <si>
    <t>18.790,20</t>
  </si>
  <si>
    <t>14.045,10</t>
  </si>
  <si>
    <t>13.254,25</t>
  </si>
  <si>
    <t>Pessoal e Encargos Sociais</t>
  </si>
  <si>
    <t>Demais Despesas Correntes</t>
  </si>
  <si>
    <t>71.510,00</t>
  </si>
  <si>
    <t>Despesas de Capital (XIV)</t>
  </si>
  <si>
    <t>18.480,00</t>
  </si>
  <si>
    <t>TOTAL DAS DESPESAS DA ADMINISTRAÇÃO RPPS (XV) = (XIII + XIV)</t>
  </si>
  <si>
    <t>90.000,00</t>
  </si>
  <si>
    <t>RESULTADO DA ADMINISTRAÇÃO RPPS (XVI) = (XII – XV)²</t>
  </si>
  <si>
    <t>45.493,62</t>
  </si>
  <si>
    <t>62.245,50</t>
  </si>
  <si>
    <t>66.990,60</t>
  </si>
  <si>
    <t>67.781,45</t>
  </si>
  <si>
    <t>Página 5 de 5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</si>
  <si>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</si>
  <si>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</si>
  <si>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</si>
  <si>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</si>
  <si>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</si>
  <si>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DESPESAS PREVIDENCIARIAS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</si>
  <si>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</si>
  <si>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</si>
  <si>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</si>
  <si>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FONTE: GOVBR RF - Responsabilidade Fiscal, SECRETARIA DE MUNICÍPIO DA FAZENDA, 28/Jul/2021, 13h e 31m.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</si>
  <si>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</si>
  <si>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DEMONSTRATIVO DAS RECEITAS E DESPESAS COM MANUTENÇÃO E DESENVOLVIMENTO DO ENSINO - MDE</t>
  </si>
  <si>
    <t>RREO - Anexo 8 (LDB,art. 72)</t>
  </si>
  <si>
    <t>RECEITA RESULTANTE DE IMPOSTOS (Arts. 212 e 212-A da Constituição Federal)</t>
  </si>
  <si>
    <t>RECEITA RESULTANTE DE IMPOSTOS</t>
  </si>
  <si>
    <t>1- RECEITA DE IMPOSTOS</t>
  </si>
  <si>
    <t>1.1- Receita Resultante do Imposto sobre a Propriedade Predial e Territorial Urbana – IPTU</t>
  </si>
  <si>
    <t>4.037.453,83</t>
  </si>
  <si>
    <t>2.130.194,98</t>
  </si>
  <si>
    <t>1.2- Receita Resultante do Imposto sobre Transmissão Inter Vivos – ITBI</t>
  </si>
  <si>
    <t>1.078.358,27</t>
  </si>
  <si>
    <t>1.038.829,71</t>
  </si>
  <si>
    <t>1.3- Receita Resultante do Imposto sobre Serviços de Qualquer Natureza – ISS</t>
  </si>
  <si>
    <t>5.723.855,79</t>
  </si>
  <si>
    <t>1.759.748,38</t>
  </si>
  <si>
    <t>1.4- Receita Resultante do Imposto de Renda Retido na Fonte – IRRF</t>
  </si>
  <si>
    <t>3.488.232,14</t>
  </si>
  <si>
    <t>1.679.007,27</t>
  </si>
  <si>
    <t>2- RECEITA DE TRANSFERÊNCIAS CONSTITUCIONAIS E LEGAIS</t>
  </si>
  <si>
    <t>58.063.914,35</t>
  </si>
  <si>
    <t>32.234.172,37</t>
  </si>
  <si>
    <t>2.1- Cota-Parte FPM</t>
  </si>
  <si>
    <t>25.861.825,58</t>
  </si>
  <si>
    <t>13.921.769,64</t>
  </si>
  <si>
    <t>2.1.1- Parcela referente à CF, art. 159, I, alínea b</t>
  </si>
  <si>
    <t>23.564.845,20</t>
  </si>
  <si>
    <t>2.1.2- Parcela referente à CF, art. 159, I, alíneas d e e</t>
  </si>
  <si>
    <t>2.296.980,38</t>
  </si>
  <si>
    <t>2.2- Cota-Parte ICMS</t>
  </si>
  <si>
    <t>28.012.287,51</t>
  </si>
  <si>
    <t>15.723.427,88</t>
  </si>
  <si>
    <t>2.3- Cota-Parte IPI-Exportação</t>
  </si>
  <si>
    <t>364.667,51</t>
  </si>
  <si>
    <t>194.264,53</t>
  </si>
  <si>
    <t>2.4- Cota-Parte ITR</t>
  </si>
  <si>
    <t>920.400,00</t>
  </si>
  <si>
    <t>60.324,37</t>
  </si>
  <si>
    <t>2.5- Cota-Parte IPVA</t>
  </si>
  <si>
    <t>2.904.733,75</t>
  </si>
  <si>
    <t>2.334.385,95</t>
  </si>
  <si>
    <t>2.6- Cota-Parte IOF-Ouro</t>
  </si>
  <si>
    <t>2.7- Compensações Financeiras Provenientes de Impostos e Transferências Constitucionais</t>
  </si>
  <si>
    <t>3- TOTAL DA RECEITA RESULTANTE DE IMPOSTOS (1 + 2)</t>
  </si>
  <si>
    <t>72.391.814,38</t>
  </si>
  <si>
    <t>38.841.952,71</t>
  </si>
  <si>
    <t>4- TOTAL DESTINADO AO FUNDEB - 20% DE ((2.1.1) + (2.2) + (2.3) + (2.4) + (2.5))</t>
  </si>
  <si>
    <t>11.153.386,79</t>
  </si>
  <si>
    <t>6.446.834,47</t>
  </si>
  <si>
    <t>5- VALOR MÍNIMO A SER APLICADO EM MDE ALÉM DO VALOR DESTINADO AO FUNDEB - 5% DE ((2.1.1) + (2.2) + (2.3) + (2.4) + (2.5)) + 25% DE ((1.1) + (1.2) + (1.3) + (1.4) + (2.1.2)+ (2.6)+ (2.7))</t>
  </si>
  <si>
    <t>6.944.566,80</t>
  </si>
  <si>
    <t>3.263.653,70</t>
  </si>
  <si>
    <t>RECEITAS RECEBIDAS DO FUNDEB NO EXERCÍCIO</t>
  </si>
  <si>
    <t>6- RECEITAS RECEBIDAS DO FUNDEB</t>
  </si>
  <si>
    <t>6.1- FUNDEB - Impostos e Transferências de Impostos</t>
  </si>
  <si>
    <t>6.1.1- Principal</t>
  </si>
  <si>
    <t>6.1.2- Rendimentos de Aplicação Financeira</t>
  </si>
  <si>
    <t>6.2- FUNDEB - Complementação da União - VAAF</t>
  </si>
  <si>
    <t>6.2.1- Principal</t>
  </si>
  <si>
    <t>6.2.2- Rendimentos de Aplicação Financeira</t>
  </si>
  <si>
    <t>6.3- FUNDEB - Complementação da União - VAAT</t>
  </si>
  <si>
    <t>6.3.1- Principal</t>
  </si>
  <si>
    <t>6.3.2- Rendimentos de Aplicação Financeira</t>
  </si>
  <si>
    <t>7- RESULTADO LÍQUIDO DAS TRANSFERÊNCIAS DO FUNDEB (6.1.1 – 4)¹</t>
  </si>
  <si>
    <t>10.673.732,59</t>
  </si>
  <si>
    <t>6.418.783,17</t>
  </si>
  <si>
    <t>RECURSOS RECEBIDOS EM EXERCÍCIOS ANTERIORES E NÃO UTILIZADOS (SUPERÁVIT)</t>
  </si>
  <si>
    <t>8- TOTAL DOS RECURSOS DE SUPERÁVIT</t>
  </si>
  <si>
    <t>8.1- SUPERÁVIT DO EXERCÍCIO IMEDIATAMENTE ANTERIOR</t>
  </si>
  <si>
    <t>8.2- SUPERÁVIT RESIDUAL DE OUTROS EXERCÍCIOS</t>
  </si>
  <si>
    <t>9- TOTAL DOS RECURSOS DO FUNDEB DISPONÍVEIS PARA UTILIZAÇÃO (6 + 8)</t>
  </si>
  <si>
    <t>DESPESAS COM RECURSOS DO FUNDEB         
(Por Área de Atuação)⁶</t>
  </si>
  <si>
    <t>INSCRITAS EM RESTOS A
PAGAR NÃO PROCESSADOS
(g)</t>
  </si>
  <si>
    <t>10- PROFISSIONAIS DA EDUCAÇÃO BÁSICA</t>
  </si>
  <si>
    <t>10.1- Educação Infantil</t>
  </si>
  <si>
    <t>10.1.1- Creche</t>
  </si>
  <si>
    <t>10.1.2- Pré-escola</t>
  </si>
  <si>
    <t>10.2- Ensino Fundamental</t>
  </si>
  <si>
    <t>11- OUTRAS DESPESAS</t>
  </si>
  <si>
    <t>11.1- Educação Infantil</t>
  </si>
  <si>
    <t>11.1.1- Creche</t>
  </si>
  <si>
    <t>11.1.2- Pré-escola</t>
  </si>
  <si>
    <t>11.2- Ensino Fundamental</t>
  </si>
  <si>
    <t>12- TOTAL DAS DESPESAS COM RECURSOS DO FUNDEB (10 + 11)</t>
  </si>
  <si>
    <t>INDICADORES DO FUNDEB</t>
  </si>
  <si>
    <t>DESPESAS CUSTEADAS COM RECEITAS DO FUNDEB RECEBIDAS NO EXERCÍCIO</t>
  </si>
  <si>
    <t>INSCRITAS EM RESTOS
A PAGAR 
NÃO PROCESSADOS
(g)</t>
  </si>
  <si>
    <t>INSCRITAS EM RESTOS A
PAGAR NÃO PROCESSADOS
(SEM DISPONIBILIDADE DE CAIXA)⁷
(h)</t>
  </si>
  <si>
    <t>13- Total das Despesas do FUNDEB com Profissionais da Educação Básica</t>
  </si>
  <si>
    <t>14- Total das Despesas custeadas com FUNDEB - Impostos e Transferências de Impostos</t>
  </si>
  <si>
    <t>10.446.240,76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</si>
  <si>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</si>
  <si>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</si>
  <si>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</si>
  <si>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</si>
  <si>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Federal²</t>
  </si>
  <si>
    <t>VALOR EXIGIDO
(i)</t>
  </si>
  <si>
    <t>VALOR APLICADO
(j)</t>
  </si>
  <si>
    <t>VALOR CONSIDERADO
APÓS DEDUÇÕES
(k)</t>
  </si>
  <si>
    <t>% APLICADO
(l)</t>
  </si>
  <si>
    <t>19- Mínimo de 70% do FUNDEB na Remuneração dos Profissionais da Educação Básica</t>
  </si>
  <si>
    <t>9.005.932,35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</si>
  <si>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</si>
  <si>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</si>
  <si>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Superávit)³</t>
  </si>
  <si>
    <t>VALOR MAXIMO PERMITIDO
(m)</t>
  </si>
  <si>
    <t>VALOR NÃO APLICADO
(n)</t>
  </si>
  <si>
    <t>VALOR NÃO APLICADO APÓS 
AJUSTE
(o)</t>
  </si>
  <si>
    <t>% NÃO APLICADO
(p)</t>
  </si>
  <si>
    <t>22- Total da Receita Recebida e não Aplicada no Exercício</t>
  </si>
  <si>
    <t>1.286.561,76</t>
  </si>
  <si>
    <t>1.632.944,87</t>
  </si>
  <si>
    <t>INDICADOR - Art.25, § 3º - Lei nº 14.113, de 2020 - (Aplicação do Superávit de Exercício Anterior)³</t>
  </si>
  <si>
    <t>VALOR DE SUPERÁVIT
PERMITIDO NO EXERCÍCIO 
ANTERIOR
(q)</t>
  </si>
  <si>
    <t>VALOR NÃO
APLICADO NO 
EXERCÍCIO ANTERIOR
(r)</t>
  </si>
  <si>
    <t>VALOR DE SUPERÁVIT 
APLICADO ATÉ O 
PRIMEIRO 
QUADRIMESTRE
(s)</t>
  </si>
  <si>
    <t>VALOR APLICADO 
ATÉ O PRIMEIRO 
QUADRIMESTRE 
QUE INTEGRARÁ O 
LIMITE CONSTITUCIONAL 
(t)</t>
  </si>
  <si>
    <t>VALOR APLICADO 
APÓS O PRIMEIRO 
QUADRIMESTRE
(u)</t>
  </si>
  <si>
    <t>VALOR 
NÃO APLICADO
(v) = (r) - (s) - (u)</t>
  </si>
  <si>
    <t>23- Total das Despesas do FUNDEB com Profissionais da Educação Básica</t>
  </si>
  <si>
    <t>23.1- Total das Despesas custeadas com FUNDEB - Impostos e Transferências de Impostos</t>
  </si>
  <si>
    <t>23.2- Total das Despesas custeadas com FUNDEB - Complementação da União - VAAF</t>
  </si>
  <si>
    <t>DESPESAS COM MANUTENÇÃO E DESENVOLVIMENTO DO ENSINO – MDE – CUSTEADAS COM RECEITA DE IMPOSTOS (EXCETO FUNDEB)</t>
  </si>
  <si>
    <t>DESPESAS COM AÇÕES TÍPICAS DE MDE - RECEITAS DE IMPOSTOS - EXCETO FUNDEB         
(Por Área de Atuação)⁶</t>
  </si>
  <si>
    <t>24- EDUCAÇÃO INFANTIL</t>
  </si>
  <si>
    <t>4.741.945,21</t>
  </si>
  <si>
    <t>825.400,23</t>
  </si>
  <si>
    <t>796.127,00</t>
  </si>
  <si>
    <t>665.473,37</t>
  </si>
  <si>
    <t>24.1- Creche</t>
  </si>
  <si>
    <t>3.040.818,94</t>
  </si>
  <si>
    <t>539.974,86</t>
  </si>
  <si>
    <t>510.701,63</t>
  </si>
  <si>
    <t>466.776,60</t>
  </si>
  <si>
    <t>24.2- Pré-escola</t>
  </si>
  <si>
    <t>1.701.126,27</t>
  </si>
  <si>
    <t>285.425,37</t>
  </si>
  <si>
    <t>198.696,77</t>
  </si>
  <si>
    <t>25- ENSINO FUNDAMENTAL</t>
  </si>
  <si>
    <t>8.256.279,47</t>
  </si>
  <si>
    <t>3.269.024,99</t>
  </si>
  <si>
    <t>3.180.425,95</t>
  </si>
  <si>
    <t>2.958.111,86</t>
  </si>
  <si>
    <t>26- TOTAL DAS DESPESAS COM AÇÕES TÍPICAS DE MDE (24 + 25)</t>
  </si>
  <si>
    <t>12.998.224,68</t>
  </si>
  <si>
    <t>3.623.585,23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</si>
  <si>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</si>
  <si>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</si>
  <si>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15.209.225,72</t>
  </si>
  <si>
    <t>28 (-) RESULTADO LÍQUIDO DAS TRANSFERÊNCIAS DO FUNDEB = (L7)</t>
  </si>
  <si>
    <t>29 (-) RESTOS A PAGAR NÃO PROCESSADOS INSCRITOS NO EXERCÍCIO SEM DISPONIBILIDADE FINANCEIRA DE RECURSOS DO FUNDEB IMPOSTOS⁴ = (L14h)</t>
  </si>
  <si>
    <t>30 (-) RESTOS A PAGAR NÃO PROCESSADOS INSCRITOS NO EXERCÍCIO SEM DISPONIBILIDADE FINANCEIRA DE RECURSOS DE IMPOSTOS⁴ ᵉ ⁷</t>
  </si>
  <si>
    <t>31 (-) CANCELAMENTO, NO EXERCÍCIO, DE RESTOS A PAGAR INSCRITOS COM DISPONIBILIDADE FINANCEIRA DE RECURSOS DE IMPOSTOS VINCULADOS AO ENSINO</t>
  </si>
  <si>
    <t>7.661,99</t>
  </si>
  <si>
    <t>32- TOTAL DAS DESPESAS PARA FINS DE LIMITE  (27 – (28 + 29 + 30 + 31))</t>
  </si>
  <si>
    <t>8.782.780,56</t>
  </si>
  <si>
    <t>APURAÇÃO DO LIMITE MÍNIMO CONSTITUCIONAL² ᵉ ⁵</t>
  </si>
  <si>
    <t>VALOR EXIGIDO
(x)</t>
  </si>
  <si>
    <t>VALOR APLICADO
(w)</t>
  </si>
  <si>
    <t>% APLICADO
(y)</t>
  </si>
  <si>
    <t>33- APLICAÇÃO EM MDE SOBRE A RECEITA RESULTANTE DE IMPOSTOS</t>
  </si>
  <si>
    <t>9.710.488,18</t>
  </si>
  <si>
    <t>RESTOS A PAGAR INSCRITOS EM EXERCÍCIOS ANTERIORES COM DISPONIBILIDADE FINANCEIRA
DE RECURSOS DE IMPOSTOS E DO FUNDEB⁸</t>
  </si>
  <si>
    <t>SALDO INICIAL
(z)</t>
  </si>
  <si>
    <t>RP LIQUIDADOS
(aa)</t>
  </si>
  <si>
    <t>RP PAGOS
(ab)</t>
  </si>
  <si>
    <t>RP CANCELADOS
(ac)</t>
  </si>
  <si>
    <t>SALDO FINAL
(ad) = (z) - (ab) - (ac)</t>
  </si>
  <si>
    <t>34- RESTOS A PAGAR DE DESPESAS COM MDE</t>
  </si>
  <si>
    <t>2.148.195,96</t>
  </si>
  <si>
    <t>4.095.818,43</t>
  </si>
  <si>
    <t>1.249.611,27</t>
  </si>
  <si>
    <t>890.922,70</t>
  </si>
  <si>
    <t>34.1 - Executadas com Recursos de Impostos e Transferências de Impostos</t>
  </si>
  <si>
    <t>1.904.792,82</t>
  </si>
  <si>
    <t>3.602.923,58</t>
  </si>
  <si>
    <t>1.000.219,41</t>
  </si>
  <si>
    <t>896.911,42</t>
  </si>
  <si>
    <t>34.2 - Executadas com Recursos do FUNDEB - Impostos</t>
  </si>
  <si>
    <t>243.403,14</t>
  </si>
  <si>
    <t>492.894,85</t>
  </si>
  <si>
    <t>(5.988,72)</t>
  </si>
  <si>
    <t>34.3 - Executadas com Recursos do FUNDEB - Complementação da União (VAAT + VAAF)</t>
  </si>
  <si>
    <t>OUTRAS INFORMAÇÕES PARA CONTROLE</t>
  </si>
  <si>
    <t>RECEITAS ADICIONAIS PARA FINANCIAMENTO DO ENSINO</t>
  </si>
  <si>
    <t>35- RECEITA DE TRANSFERÊNCIAS DO FNDE (INCLUINDO RENDIMENTOS DE APLICAÇÃO FINANCEIRA)</t>
  </si>
  <si>
    <t>2.061.534,90</t>
  </si>
  <si>
    <t>1.141.597,41</t>
  </si>
  <si>
    <t>35.1- Salário-Educação</t>
  </si>
  <si>
    <t>1.344.809,77</t>
  </si>
  <si>
    <t>35.2- PDDE</t>
  </si>
  <si>
    <t>35.3- PNAE</t>
  </si>
  <si>
    <t>481.041,34</t>
  </si>
  <si>
    <t>35.4- PNATE</t>
  </si>
  <si>
    <t>217.723,49</t>
  </si>
  <si>
    <t>35.5- Outras Transferências do FNDE</t>
  </si>
  <si>
    <t>17.960,30</t>
  </si>
  <si>
    <t>36- RECEITA DE TRANSFERÊNCIAS DE CONVÊNIOS</t>
  </si>
  <si>
    <t>2.106.364,81</t>
  </si>
  <si>
    <t>37- RECEITA DE ROYALTIES DESTINADOS À EDUCAÇÃO</t>
  </si>
  <si>
    <t>38- RECEITA DE OPERAÇÕES DE CRÉDITO VINCULADAS À EDUCAÇÃO</t>
  </si>
  <si>
    <t>39- OUTRAS RECEITAS PARA FINANCIAMENTO DO ENSINO</t>
  </si>
  <si>
    <t>40- TOTAL DAS RECEITAS ADICIONAIS PARA FINANCIAMENTO DO ENSINO = (35 + 36 + 37 +38 + 39)</t>
  </si>
  <si>
    <t>4.167.919,71</t>
  </si>
  <si>
    <t>1.431.646,11</t>
  </si>
  <si>
    <t>DESPESAS CUSTEADAS COM RECEITAS ADICIONAIS PARA FINANCIAMENTO DO ENSINO         
(Por Área de Atuação)⁶</t>
  </si>
  <si>
    <t>41- EDUCAÇÃO INFANTIL</t>
  </si>
  <si>
    <t>282.800,00</t>
  </si>
  <si>
    <t>112.725,40</t>
  </si>
  <si>
    <t>95.931,10</t>
  </si>
  <si>
    <t>58.880,60</t>
  </si>
  <si>
    <t>41.1- Creche</t>
  </si>
  <si>
    <t>185.248,00</t>
  </si>
  <si>
    <t>68.954,60</t>
  </si>
  <si>
    <t>60.934,13</t>
  </si>
  <si>
    <t>36.699,13</t>
  </si>
  <si>
    <t>41.2- Pré-escola</t>
  </si>
  <si>
    <t>97.552,00</t>
  </si>
  <si>
    <t>43.770,80</t>
  </si>
  <si>
    <t>34.996,97</t>
  </si>
  <si>
    <t>22.181,47</t>
  </si>
  <si>
    <t>42- ENSINO FUNDAMENTAL</t>
  </si>
  <si>
    <t>3.239.969,71</t>
  </si>
  <si>
    <t>282.516,43</t>
  </si>
  <si>
    <t>186.269,51</t>
  </si>
  <si>
    <t>154.144,38</t>
  </si>
  <si>
    <t>43- ENSINO MÉDIO</t>
  </si>
  <si>
    <t>44- ENSINO SUPERIOR</t>
  </si>
  <si>
    <t>45- ENSINO PROFISSIONAL NÃO INTEGRADO AO ENSINO REGULAR</t>
  </si>
  <si>
    <t>46- TOTAL DAS DESPESAS CUSTEADAS COM RECEITAS ADICIONAIS PARA FINANCIAMENTO DO ENSINO (41+42+43+44+45)</t>
  </si>
  <si>
    <t>3.522.789,71</t>
  </si>
  <si>
    <t>395.241,83</t>
  </si>
  <si>
    <t>282.200,61</t>
  </si>
  <si>
    <t>213.024,98</t>
  </si>
  <si>
    <t>TOTAL GERAL DAS DESPESAS COM EDUCAÇÃO</t>
  </si>
  <si>
    <t>47- TOTAL GERAL DAS DESPESAS COM EDUCAÇÃO (12 + 26 + 46)</t>
  </si>
  <si>
    <t>42.368.245,27</t>
  </si>
  <si>
    <t>15.987.459,57</t>
  </si>
  <si>
    <t>15.749.149,65</t>
  </si>
  <si>
    <t>14.516.984,84</t>
  </si>
  <si>
    <t>47.1- Despesas Correntes</t>
  </si>
  <si>
    <t>41.641.829,89</t>
  </si>
  <si>
    <t>15.952.293,67</t>
  </si>
  <si>
    <t>15.717.828,75</t>
  </si>
  <si>
    <t>14.485.663,94</t>
  </si>
  <si>
    <t>47.1.1- Pessoal Ativo</t>
  </si>
  <si>
    <t>34.337.563,92</t>
  </si>
  <si>
    <t>14.233.613,97</t>
  </si>
  <si>
    <t>13.284.206,22</t>
  </si>
  <si>
    <t>47.1.2- Pessoal Inativo</t>
  </si>
  <si>
    <t>47.1.3-Transferências às instituições comunitárias, confessionais ou filantrópicas sem fins lucrativos</t>
  </si>
  <si>
    <t>47.1.4- Outras Despesas Correntes</t>
  </si>
  <si>
    <t>7.224.265,97</t>
  </si>
  <si>
    <t>1.718.679,70</t>
  </si>
  <si>
    <t>1.484.214,78</t>
  </si>
  <si>
    <t>1.201.457,72</t>
  </si>
  <si>
    <t>47.2- Despesas de Capital</t>
  </si>
  <si>
    <t>726.415,38</t>
  </si>
  <si>
    <t>35.165,90</t>
  </si>
  <si>
    <t>31.320,90</t>
  </si>
  <si>
    <t>47.2.1- Transferências às instituições comunitárias, confessionais ou filantrópicas sem fins lucrativos</t>
  </si>
  <si>
    <t>47.2.2- Outras Despesas de Capital</t>
  </si>
  <si>
    <t>CONTROLE DA DISPONIBILIDADE FINANCEIRA E CONCILIAÇÃO BANCÁRIA</t>
  </si>
  <si>
    <t>FUNDEB
(ae)</t>
  </si>
  <si>
    <t>SALÁRIO EDUCAÇÃO
(af)</t>
  </si>
  <si>
    <t>48- DISPONIBILIDADE FINANCEIRA EM 31 DE DEZEMBRO DE  2020</t>
  </si>
  <si>
    <t>49- (+) INGRESSO DE RECURSOS ATÉ O BIMESTRE (orçamentário)</t>
  </si>
  <si>
    <t>50- (-) PAGAMENTOS EFETUADOS ATÉ O BIMESTRE (orçamentário e restos a pagar)</t>
  </si>
  <si>
    <t>10.695.632,62</t>
  </si>
  <si>
    <t>135.836,26</t>
  </si>
  <si>
    <t>51- (=) DISPONIBILIDADE FINANCEIRA ATÉ O BIMESTRE</t>
  </si>
  <si>
    <t>2.647.478,95</t>
  </si>
  <si>
    <t>1.166.463,99</t>
  </si>
  <si>
    <t>52- (+) AJUSTES POSITIVOS (RETENÇÕES E OUTROS VALORES EXTRAORÇAMENTÁRIOS)</t>
  </si>
  <si>
    <t>53- (-) AJUSTES NEGATIVOS (OUTROS VALORES EXTRAORÇAMENTÁRIOS)</t>
  </si>
  <si>
    <t>54- (=) SALDO FINANCEIRO CONCILIADO (Saldo Bancário)</t>
  </si>
  <si>
    <t>FONTE: GOVBR RF - Responsabilidade Fiscal, SECRETARIA DE MUNICÍPIO DA FAZENDA, 28/Jul/2021, 13h e 38m.</t>
  </si>
  <si>
    <t>1 SE RESULTADO LÍQUIDO DA TRANSFERÊNCIA (7) &gt; 0 = ACRÉSCIMO RESULTANTE DAS TRANSFERÊNCIAS DO FUNDEB, SE RESULTADO LÍQUIDO DA TRANSFERÊNCIA (7) &lt; 0 = DECRÉSCIMO RESULTANTE DAS TRANSFERÊNCIAS DO FUNDEB.
2 Limites mínimos anuais a serem cumpridos no encerramento do exercício.
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
4 Os valores referentes à parcela dos Restos a Pagar inscritos sem disponibilidade financeira vinculada à educação deverão ser informados somente no RREO do último bimestre do exercício.
5 Nos cinco primeiros bimestres do exercício o acompanhamento será feito com base na despesa liquidada. No último bimestre do exercício, o valor deverá corresponder ao total da despesa empenhada.
6 As linhas representam áreas de atuação e não correspondem exatamente às subfunções da Função Educação. As despesas classificadas nas demais subfunções típicas e nas subfunções atípicas deverão ser rateadas para essas áreas de atuação.
7 Valor inscrito em RPNP sem disponibilidade de caixa, que não deve ser considerado na apuração dos indicadores e limites.
8 Controle da execução de restos a pagar considerados no cumprimento do limite mínimo dos exercícios anteriores.</t>
  </si>
  <si>
    <t>PREFEITURA MUNICIPAL DE CACAPAVA DO SUL - RS</t>
  </si>
  <si>
    <t>DEMONSTRATIVO DA DÍVIDA CONSOLIDADA LÍQUIDA</t>
  </si>
  <si>
    <t>JANEIRO A JUNHO DE 2021</t>
  </si>
  <si>
    <t>RGF - ANEXO 2 (LRF, art.55, inciso I, alínea "b")</t>
  </si>
  <si>
    <t>SALDO DO</t>
  </si>
  <si>
    <t>SALDO DO EXERCÍCIO DE 2021</t>
  </si>
  <si>
    <t>EXERCÍCIO</t>
  </si>
  <si>
    <t>Até o 1º</t>
  </si>
  <si>
    <t>Até o 2º</t>
  </si>
  <si>
    <t>ANTERIOR</t>
  </si>
  <si>
    <t>Semestre</t>
  </si>
  <si>
    <t>DÍVIDA CONSOLIDADA - DC (I)</t>
  </si>
  <si>
    <t>1.674.324,20</t>
  </si>
  <si>
    <t>2.477.365,75</t>
  </si>
  <si>
    <t>Dívida Mobiliária</t>
  </si>
  <si>
    <t>Dívida Contratual</t>
  </si>
  <si>
    <t>1.672.307,53</t>
  </si>
  <si>
    <t>2.475.349,08</t>
  </si>
  <si>
    <t>Empréstimos</t>
  </si>
  <si>
    <t>Internos</t>
  </si>
  <si>
    <t>Externos</t>
  </si>
  <si>
    <t>Reestruturação da Dívida de Estados e Municípios</t>
  </si>
  <si>
    <t>Financiamentos</t>
  </si>
  <si>
    <t>331.874,78</t>
  </si>
  <si>
    <t>183.322,40</t>
  </si>
  <si>
    <t>Parcelamento e Renegociação de dívidas</t>
  </si>
  <si>
    <t>710.433,13</t>
  </si>
  <si>
    <t>1.842.027,12</t>
  </si>
  <si>
    <t>De Tributos</t>
  </si>
  <si>
    <t>De Contribuições Previdenciárias</t>
  </si>
  <si>
    <t>295.733,47</t>
  </si>
  <si>
    <t>1.428.405,46</t>
  </si>
  <si>
    <t>De Demais Contribuições Sociais</t>
  </si>
  <si>
    <t>Do FGTS</t>
  </si>
  <si>
    <t>Com Instituição Não Financeira</t>
  </si>
  <si>
    <t>414.699,66</t>
  </si>
  <si>
    <t>413.621,66</t>
  </si>
  <si>
    <t>Demais Dívidas Contratuais</t>
  </si>
  <si>
    <t>629.999,62</t>
  </si>
  <si>
    <t>449.999,56</t>
  </si>
  <si>
    <t>Precatórios Posteriores a 05/05/2000 (inclusive) - Vencidos e não pagos</t>
  </si>
  <si>
    <t>2.016,67</t>
  </si>
  <si>
    <t>Outras Dívidas</t>
  </si>
  <si>
    <t>DEDUÇÕES (II)</t>
  </si>
  <si>
    <t>636.417,72</t>
  </si>
  <si>
    <t>650.297,04</t>
  </si>
  <si>
    <t>Disponibilidade de Caixa¹</t>
  </si>
  <si>
    <t>Disponibilidade de Caixa Bruta</t>
  </si>
  <si>
    <t>17.546.881,59</t>
  </si>
  <si>
    <t>17.935.760,49</t>
  </si>
  <si>
    <t>(-) Restos a Pagar Processados</t>
  </si>
  <si>
    <t>26.650.439,28</t>
  </si>
  <si>
    <t>20.977.819,52</t>
  </si>
  <si>
    <t>Demais Haveres Financeiros</t>
  </si>
  <si>
    <t>DÍVIDA CONSOLIDADA LÍQUIDA (DCL) (III) = (I - II)</t>
  </si>
  <si>
    <t>1.037.906,48</t>
  </si>
  <si>
    <t>103.982.991,59</t>
  </si>
  <si>
    <t>110.065.662,63</t>
  </si>
  <si>
    <t>(-) Transferências obrigatórias da União relativas às emendas individuais 
 (art. 166-A, § 1º, da CF) (V)</t>
  </si>
  <si>
    <t>100.000,00</t>
  </si>
  <si>
    <t>RECEITA CORRENTE LÍQUIDA AJUSTADA PARA CÁLCULO DOS LIMITES DE 
 ENDIVIDAMENTO (VI) = (IV - V)</t>
  </si>
  <si>
    <t>109.965.662,63</t>
  </si>
  <si>
    <t>% da DC sobre a RCL AJUSTADA (I/VI)</t>
  </si>
  <si>
    <t>1,61</t>
  </si>
  <si>
    <t>2,25</t>
  </si>
  <si>
    <t>% da DCL sobre a RCL AJUSTADA (III/VI)</t>
  </si>
  <si>
    <t>1,00</t>
  </si>
  <si>
    <t>LIMITE DEFINIDO POR RESOLUÇÃO DO SENADO FEDERAL - &lt;0,00%&gt;</t>
  </si>
  <si>
    <t>LIMITE DE ALERTA (inciso III do § 1º do art. 59 da LRF) - &lt;0,00%&gt;</t>
  </si>
  <si>
    <t>OUTROS VALORES NÃO INTEGRANTES DA DC</t>
  </si>
  <si>
    <t>PRECATÓRIOS ANTERIORES A 05/05/2000</t>
  </si>
  <si>
    <t>PRECATÓRIOS POSTERIORES A 05/05/2000² (Não incluídos na DCL)</t>
  </si>
  <si>
    <t>732.935,24</t>
  </si>
  <si>
    <t>718.984,87</t>
  </si>
  <si>
    <t>PASSIVO ATUARIAL</t>
  </si>
  <si>
    <t>40.372.812,37</t>
  </si>
  <si>
    <t>146.560.621,28</t>
  </si>
  <si>
    <t>INSUFICIÊNCIA FINANCEIRA</t>
  </si>
  <si>
    <t>9.103.557,69</t>
  </si>
  <si>
    <t>3.042.059,03</t>
  </si>
  <si>
    <t>DEPÓSITOS E CONSIGNAÇÕES SEM CONTRAPARTIDA</t>
  </si>
  <si>
    <t>1.065.132,70</t>
  </si>
  <si>
    <t>1.093.720,35</t>
  </si>
  <si>
    <t>RP NÃO-PROCESSADOS</t>
  </si>
  <si>
    <t>2.745.959,05</t>
  </si>
  <si>
    <t>1.729.093,24</t>
  </si>
  <si>
    <t>ANTECIPAÇÕES DE RECEITA ORÇAMENTÁRIA – ARO</t>
  </si>
  <si>
    <t>DÍVIDA CONTRATUAL DE PPP</t>
  </si>
  <si>
    <t>APROPRIAÇÃO DE DEPÓSITOS JUDICIAIS</t>
  </si>
  <si>
    <t>12.930,40</t>
  </si>
  <si>
    <t>FONTE: GOVBR RF - Responsabilidade Fiscal, SECRETARIA DE MUNICÍPIO DA FAZENDA, 28/Jul/2021, 13h e 47m.</t>
  </si>
  <si>
    <t>1. Se o saldo apurado for negativo, ou seja, se o total da Disponibilidade de Caixa Bruta for menor que Restos a Pagar Processados, esse saldo negativo</t>
  </si>
  <si>
    <t>não deverá ser informado nessa linha, mas sim na linha da "Insuficiência Financeira", no quadro "Outros Valores não integrantes da Dívida Consolidada".</t>
  </si>
  <si>
    <t>Assim, quando o cálculo de Disponibilidade de Caixa for negativo, o valor dessa linha deverá ser (0) "zero".</t>
  </si>
  <si>
    <t>2. Refere-se aos precatórios posteriores a 05/05/2000 que, em cumprimento ao disposto no artigo 100 da Constituição Federal, ainda não foram</t>
  </si>
  <si>
    <t xml:space="preserve">incluídos no orçamento ou constam no orçamento e ainda não foram pagos. Ao final do exercício em que esses precatórios foram incluídos ou que </t>
  </si>
  <si>
    <t>deveriam ter sido incluídos, os valores deverão compor a linha "Precatórios".</t>
  </si>
  <si>
    <t>3. O valor da RCL dos doze últimos meses apurado manualmente foi de 103.790.631,47</t>
  </si>
  <si>
    <t>RECEITA CORRENTE LÍQUIDA - RCL (IV)³</t>
  </si>
  <si>
    <t>Demonstrativo das Receitas e Despesas com Ações e Serviços Públicos de Saúde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</si>
  <si>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</si>
  <si>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</si>
  <si>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</si>
  <si>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</si>
  <si>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</si>
  <si>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</si>
  <si>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52,76</t>
  </si>
  <si>
    <t>3.167.486,58</t>
  </si>
  <si>
    <t>1.897.815,16</t>
  </si>
  <si>
    <t>59,92</t>
  </si>
  <si>
    <t>Multas, Juros de Mora, Divida Ativa e Outros Encargos do IPTU</t>
  </si>
  <si>
    <t>869.967,25</t>
  </si>
  <si>
    <t>232.379,82</t>
  </si>
  <si>
    <t>Receita Resultante do Imposto sobre Transmissão Inter Vivos - ITBI</t>
  </si>
  <si>
    <t>96,33</t>
  </si>
  <si>
    <t>1.060.847,40</t>
  </si>
  <si>
    <t>97,92</t>
  </si>
  <si>
    <t>Multas, Juros de Mora, Dívida Ativa e Outros Encargos do ITBI</t>
  </si>
  <si>
    <t>17.510,87</t>
  </si>
  <si>
    <t>Receita Resultante do Imposto sobre Serviços de Qualquer Natureza - ISS</t>
  </si>
  <si>
    <t>30,74</t>
  </si>
  <si>
    <t>ISS</t>
  </si>
  <si>
    <t>5.602.856,40</t>
  </si>
  <si>
    <t>1.683.833,82</t>
  </si>
  <si>
    <t>30,05</t>
  </si>
  <si>
    <t>Multas, Juros de Mora, Dívida Ativa e Outros Encargos do ISS</t>
  </si>
  <si>
    <t>120.999,39</t>
  </si>
  <si>
    <t>75.914,56</t>
  </si>
  <si>
    <t>62,74</t>
  </si>
  <si>
    <t>Receita Resultante do Imposto sobre a Renda e Proventos de Qualquer Natureza Retido na Fonte – IRRF</t>
  </si>
  <si>
    <t>48,13</t>
  </si>
  <si>
    <t>RECEITA DE TRANSFERÊNCIAS CONSTITUCIONAIS E LEGAIS (II)</t>
  </si>
  <si>
    <t>Cota-Parte FPM</t>
  </si>
  <si>
    <t>Cota-Parte ITR</t>
  </si>
  <si>
    <t>Cota-Parte IPVA</t>
  </si>
  <si>
    <t>Cota-Parte ICMS</t>
  </si>
  <si>
    <t>Cota-Parte IPI-Exportação</t>
  </si>
  <si>
    <t>Compensações Financeiras Provenientes de Impostos e Transferências Constitucionais</t>
  </si>
  <si>
    <t>Desoneração ICMS - LC 87/1996</t>
  </si>
  <si>
    <t>Outras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</si>
  <si>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</si>
  <si>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</si>
  <si>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DOTAÇÃO
INICIAL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</si>
  <si>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</si>
  <si>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</si>
  <si>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</si>
  <si>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</si>
  <si>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</si>
  <si>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</si>
  <si>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</si>
  <si>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</si>
  <si>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3.376.172,48</t>
  </si>
  <si>
    <t>3.458.313,08</t>
  </si>
  <si>
    <t>1.659.412,04</t>
  </si>
  <si>
    <t>47,98</t>
  </si>
  <si>
    <t>1.643.833,49</t>
  </si>
  <si>
    <t>47,53</t>
  </si>
  <si>
    <t>1.628.089,80</t>
  </si>
  <si>
    <t>47,08</t>
  </si>
  <si>
    <t>Despesas Correntes</t>
  </si>
  <si>
    <t>Despesas de Capital</t>
  </si>
  <si>
    <t>ASSISTÊNCIA HOSPITALAR E AMBULATORIAL  (V)</t>
  </si>
  <si>
    <t>8.766.284,95</t>
  </si>
  <si>
    <t>8.856.811,52</t>
  </si>
  <si>
    <t>5.045.077,30</t>
  </si>
  <si>
    <t>56,96</t>
  </si>
  <si>
    <t>4.549.938,12</t>
  </si>
  <si>
    <t>51,37</t>
  </si>
  <si>
    <t>4.048.642,40</t>
  </si>
  <si>
    <t>45,71</t>
  </si>
  <si>
    <t>8.766.280,95</t>
  </si>
  <si>
    <t>8.845.240,35</t>
  </si>
  <si>
    <t>5.033.509,13</t>
  </si>
  <si>
    <t>56,91</t>
  </si>
  <si>
    <t>51,44</t>
  </si>
  <si>
    <t>45,77</t>
  </si>
  <si>
    <t>11.571,17</t>
  </si>
  <si>
    <t>11.568,17</t>
  </si>
  <si>
    <t>99,97</t>
  </si>
  <si>
    <t>SUPORTE PROFILÁTICO E TERAPÊUTICO  (VI)</t>
  </si>
  <si>
    <t>403.453,40</t>
  </si>
  <si>
    <t>295.205,48</t>
  </si>
  <si>
    <t>73,17</t>
  </si>
  <si>
    <t>244.688,94</t>
  </si>
  <si>
    <t>60,65</t>
  </si>
  <si>
    <t>189.993,61</t>
  </si>
  <si>
    <t>47,09</t>
  </si>
  <si>
    <t>VIGILÂNCIA SANITÁRIA  (VII)</t>
  </si>
  <si>
    <t>30.008,00</t>
  </si>
  <si>
    <t>50.008,00</t>
  </si>
  <si>
    <t>30.007,00</t>
  </si>
  <si>
    <t>50.007,00</t>
  </si>
  <si>
    <t>VIGILÂNCIA EPIDEMIOLÓGICA (VIII)</t>
  </si>
  <si>
    <t>432.648,90</t>
  </si>
  <si>
    <t>172.295,52</t>
  </si>
  <si>
    <t>39,82</t>
  </si>
  <si>
    <t>171.750,56</t>
  </si>
  <si>
    <t>39,70</t>
  </si>
  <si>
    <t>ALIMENTAÇÃO E NUTRIÇÃO (IX)</t>
  </si>
  <si>
    <t>OUTRAS SUBFUNÇÕES (X)</t>
  </si>
  <si>
    <t>7.143.703,20</t>
  </si>
  <si>
    <t>6.951.036,03</t>
  </si>
  <si>
    <t>3.072.496,54</t>
  </si>
  <si>
    <t>44,20</t>
  </si>
  <si>
    <t>2.938.495,25</t>
  </si>
  <si>
    <t>42,27</t>
  </si>
  <si>
    <t>2.481.719,36</t>
  </si>
  <si>
    <t>35,70</t>
  </si>
  <si>
    <t>6.977.226,16</t>
  </si>
  <si>
    <t>6.784.558,99</t>
  </si>
  <si>
    <t>45,29</t>
  </si>
  <si>
    <t>43,31</t>
  </si>
  <si>
    <t>36,58</t>
  </si>
  <si>
    <t>166.477,04</t>
  </si>
  <si>
    <t>TOTAL (XI) = (IV + V + VI + VII + VIII + IX + X)</t>
  </si>
  <si>
    <t>20.152.270,93</t>
  </si>
  <si>
    <t>50,84</t>
  </si>
  <si>
    <t>47,39</t>
  </si>
  <si>
    <t>8.520.195,73</t>
  </si>
  <si>
    <t>42,28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</si>
  <si>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</si>
  <si>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</si>
  <si>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</si>
  <si>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</si>
  <si>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</si>
  <si>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</si>
  <si>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</si>
  <si>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</si>
  <si>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</si>
  <si>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</si>
  <si>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991.167,05</t>
  </si>
  <si>
    <t>Despesa Mínima a ser Aplicada em ASPS (XVII) = (III) x % (Lei Orgânica Municipal)</t>
  </si>
  <si>
    <t>Diferença entre o Valor Aplicado e a Despesa Mínima a ser Aplicada (XVIII) = (XVI (d ou e) - XVII)1</t>
  </si>
  <si>
    <t>8.558.084,27</t>
  </si>
  <si>
    <t>7.529.028,68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</si>
  <si>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</si>
  <si>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</si>
  <si>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144,52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</si>
  <si>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</si>
  <si>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</si>
  <si>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</si>
  <si>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</si>
  <si>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</si>
  <si>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</si>
  <si>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</si>
  <si>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</si>
  <si>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2020</t>
  </si>
  <si>
    <t>Diferença de limite não cumprido em 2019</t>
  </si>
  <si>
    <t>Diferença de limite não cumprido em Exercícios Anteriores</t>
  </si>
  <si>
    <t>TOTAL DA DIFERENÇA DE LIMITE NÃO CUMPRIDO EM EXERCÍCIOS ANTERIORES (XX)</t>
  </si>
  <si>
    <t>EXECUÇÃO DE RESTOS A PAGAR</t>
  </si>
  <si>
    <t>EXERCÍCIO DO EMPENHO²</t>
  </si>
  <si>
    <t>Valor Mínimo para aplicação em ASPS                                                 (m)</t>
  </si>
  <si>
    <t>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</si>
  <si>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</si>
  <si>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</si>
  <si>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</si>
  <si>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</si>
  <si>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</si>
  <si>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</si>
  <si>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</si>
  <si>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</si>
  <si>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2021</t>
  </si>
  <si>
    <t>Empenhos de 2020</t>
  </si>
  <si>
    <t>Empenhos de 2019</t>
  </si>
  <si>
    <t>Empenhos de 2018</t>
  </si>
  <si>
    <t>Empenhos de 2017</t>
  </si>
  <si>
    <t>Empenhos de 2016</t>
  </si>
  <si>
    <t>Empenhos de 2015</t>
  </si>
  <si>
    <t>Empenhos de 2014</t>
  </si>
  <si>
    <t>Empenhos de 2013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</si>
  <si>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</si>
  <si>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</si>
  <si>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</si>
  <si>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</si>
  <si>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</si>
  <si>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</si>
  <si>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</si>
  <si>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</si>
  <si>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</si>
  <si>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</si>
  <si>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2020 a serem compensados (XXIV)</t>
  </si>
  <si>
    <t>Restos a pagar cancelados ou prescritos em 2019 a serem compensados (XXV)</t>
  </si>
  <si>
    <t>(8.249,07)</t>
  </si>
  <si>
    <t>Restos a pagar cancelados ou prescritos em exercícios anteriores a serem compensados (XXVI)</t>
  </si>
  <si>
    <t>(196.497,12)</t>
  </si>
  <si>
    <t>TOTAL DE RESTOS A PAGAR CANCELADOS OU PRESCRITOS A COMPENSAR (XXVII)</t>
  </si>
  <si>
    <t>(204.746,19)</t>
  </si>
  <si>
    <t>RECEITAS ADICIONAIS PARA O FINANCIAMENTO DA SAÚDE NÃO COMPUTADAS NO CÁLCULO DO MÍNIMO</t>
  </si>
  <si>
    <t>RECEITAS DE TRANSFERÊNCIAS PARA A SAÚDE  (XXVIII)</t>
  </si>
  <si>
    <t>6.366.187,44</t>
  </si>
  <si>
    <t>3.176.570,65</t>
  </si>
  <si>
    <t>49,90</t>
  </si>
  <si>
    <t>Proveniente da União</t>
  </si>
  <si>
    <t>5.118.144,73</t>
  </si>
  <si>
    <t>2.424.352,03</t>
  </si>
  <si>
    <t>47,37</t>
  </si>
  <si>
    <t>Proveniente dos Estados</t>
  </si>
  <si>
    <t>1.248.042,71</t>
  </si>
  <si>
    <t>752.218,62</t>
  </si>
  <si>
    <t>60,27</t>
  </si>
  <si>
    <t>Proveniente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</si>
  <si>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</si>
  <si>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</si>
  <si>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</si>
  <si>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</si>
  <si>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</si>
  <si>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</si>
  <si>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4.300.007,99</t>
  </si>
  <si>
    <t>4.936.423,22</t>
  </si>
  <si>
    <t>2.223.119,21</t>
  </si>
  <si>
    <t>45,04</t>
  </si>
  <si>
    <t>2.117.717,62</t>
  </si>
  <si>
    <t>42,90</t>
  </si>
  <si>
    <t>2.021.714,00</t>
  </si>
  <si>
    <t>40,96</t>
  </si>
  <si>
    <t>4.182.900,79</t>
  </si>
  <si>
    <t>4.808.118,02</t>
  </si>
  <si>
    <t>2.202.546,54</t>
  </si>
  <si>
    <t>45,81</t>
  </si>
  <si>
    <t>2.108.079,62</t>
  </si>
  <si>
    <t>43,84</t>
  </si>
  <si>
    <t>2.012.076,00</t>
  </si>
  <si>
    <t>41,85</t>
  </si>
  <si>
    <t>117.107,20</t>
  </si>
  <si>
    <t>128.305,20</t>
  </si>
  <si>
    <t>20.572,67</t>
  </si>
  <si>
    <t>16,03</t>
  </si>
  <si>
    <t>9.638,00</t>
  </si>
  <si>
    <t>7,51</t>
  </si>
  <si>
    <t>ASSISTÊNCIA HOSPITALAR E AMBULATORIAL (XXXIII)</t>
  </si>
  <si>
    <t>1.240.090,51</t>
  </si>
  <si>
    <t>1.389.052,47</t>
  </si>
  <si>
    <t>796.784,67</t>
  </si>
  <si>
    <t>57,36</t>
  </si>
  <si>
    <t>573.587,64</t>
  </si>
  <si>
    <t>41,29</t>
  </si>
  <si>
    <t>558.067,54</t>
  </si>
  <si>
    <t>40,18</t>
  </si>
  <si>
    <t>1.240.068,62</t>
  </si>
  <si>
    <t>1.261.139,62</t>
  </si>
  <si>
    <t>668.977,26</t>
  </si>
  <si>
    <t>53,05</t>
  </si>
  <si>
    <t>45,48</t>
  </si>
  <si>
    <t>44,25</t>
  </si>
  <si>
    <t>21,89</t>
  </si>
  <si>
    <t>127.912,85</t>
  </si>
  <si>
    <t>99,92</t>
  </si>
  <si>
    <t>SUPORTE PROFILÁTICO E TERAPÊUTICO (XXXIV)</t>
  </si>
  <si>
    <t>487.164,07</t>
  </si>
  <si>
    <t>263.296,10</t>
  </si>
  <si>
    <t>54,05</t>
  </si>
  <si>
    <t>186.938,50</t>
  </si>
  <si>
    <t>38,37</t>
  </si>
  <si>
    <t>174.520,50</t>
  </si>
  <si>
    <t>35,82</t>
  </si>
  <si>
    <t>VIGILÂNCIA SANITÁRIA (XXXV)</t>
  </si>
  <si>
    <t>14.002,00</t>
  </si>
  <si>
    <t>9.048,78</t>
  </si>
  <si>
    <t>64,62</t>
  </si>
  <si>
    <t>7.237,78</t>
  </si>
  <si>
    <t>51,69</t>
  </si>
  <si>
    <t>6.917,78</t>
  </si>
  <si>
    <t>49,41</t>
  </si>
  <si>
    <t>VIGILÂNCIA EPIDEMIOLÓGICA (XXXVI)</t>
  </si>
  <si>
    <t>817.547,99</t>
  </si>
  <si>
    <t>2.037.369,99</t>
  </si>
  <si>
    <t>1.658.945,68</t>
  </si>
  <si>
    <t>81,43</t>
  </si>
  <si>
    <t>1.487.627,47</t>
  </si>
  <si>
    <t>73,02</t>
  </si>
  <si>
    <t>1.379.724,55</t>
  </si>
  <si>
    <t>67,72</t>
  </si>
  <si>
    <t>817.545,69</t>
  </si>
  <si>
    <t>1.969.993,69</t>
  </si>
  <si>
    <t>1.621.475,68</t>
  </si>
  <si>
    <t>82,31</t>
  </si>
  <si>
    <t>1.453.057,47</t>
  </si>
  <si>
    <t>73,76</t>
  </si>
  <si>
    <t>1.345.154,55</t>
  </si>
  <si>
    <t>68,28</t>
  </si>
  <si>
    <t>2,30</t>
  </si>
  <si>
    <t>67.376,30</t>
  </si>
  <si>
    <t>37.470,00</t>
  </si>
  <si>
    <t>55,61</t>
  </si>
  <si>
    <t>34.570,00</t>
  </si>
  <si>
    <t>51,31</t>
  </si>
  <si>
    <t>ALIMENTAÇÃO E NUTRIÇÃO (XXXVII)</t>
  </si>
  <si>
    <t>OUTRAS SUBFUNÇÕES (XXXVIII)</t>
  </si>
  <si>
    <t>204.761,22</t>
  </si>
  <si>
    <t>310.998,54</t>
  </si>
  <si>
    <t>55.963,06</t>
  </si>
  <si>
    <t>17,99</t>
  </si>
  <si>
    <t>48.676,74</t>
  </si>
  <si>
    <t>15,65</t>
  </si>
  <si>
    <t>34.676,74</t>
  </si>
  <si>
    <t>11,15</t>
  </si>
  <si>
    <t>12.281,35</t>
  </si>
  <si>
    <t>192.479,87</t>
  </si>
  <si>
    <t>298.717,19</t>
  </si>
  <si>
    <t>18,73</t>
  </si>
  <si>
    <t>16,30</t>
  </si>
  <si>
    <t>11,61</t>
  </si>
  <si>
    <t>TOTAL DAS DESPESAS NÃO COMPUTADAS NO CÁLCULO DO MÍNIMO  (XXXIX) = (XXXII + XXXIII + XXXIV + XXXV + XXXVI + XXXVII + XXXVIII)</t>
  </si>
  <si>
    <t>7.063.573,78</t>
  </si>
  <si>
    <t>9.175.010,29</t>
  </si>
  <si>
    <t>5.007.157,50</t>
  </si>
  <si>
    <t>54,57</t>
  </si>
  <si>
    <t>4.421.785,75</t>
  </si>
  <si>
    <t>48,19</t>
  </si>
  <si>
    <t>4.175.621,11</t>
  </si>
  <si>
    <t>45,51</t>
  </si>
  <si>
    <t>DESPESAS TOTAIS COM SAÚDE EXECUTADAS COM RECURSOS PRÓPRIOS E COM RECURSOS TRANSFERIDOS DE OUTROS ENTES</t>
  </si>
  <si>
    <t>ATENÇÃO BÁSICA (XL) = (IV + XXXII)</t>
  </si>
  <si>
    <t>7.676.180,47</t>
  </si>
  <si>
    <t>8.394.736,30</t>
  </si>
  <si>
    <t>3.882.531,25</t>
  </si>
  <si>
    <t>46,25</t>
  </si>
  <si>
    <t>3.761.551,11</t>
  </si>
  <si>
    <t>44,81</t>
  </si>
  <si>
    <t>3.649.803,80</t>
  </si>
  <si>
    <t>43,48</t>
  </si>
  <si>
    <t>ASSISTÊNCIA HOSPITALAR E AMBULATORIAL (XLI) = (V + XXXIII)</t>
  </si>
  <si>
    <t>10.006.375,46</t>
  </si>
  <si>
    <t>10.245.863,99</t>
  </si>
  <si>
    <t>5.841.861,97</t>
  </si>
  <si>
    <t>57,02</t>
  </si>
  <si>
    <t>5.123.525,76</t>
  </si>
  <si>
    <t>50,01</t>
  </si>
  <si>
    <t>4.606.709,94</t>
  </si>
  <si>
    <t>44,96</t>
  </si>
  <si>
    <t>SUPORTE PROFILÁTICO E TERAPÊUTICO (XLII) = (VI + XXXIV)</t>
  </si>
  <si>
    <t>890.617,47</t>
  </si>
  <si>
    <t>558.501,58</t>
  </si>
  <si>
    <t>62,71</t>
  </si>
  <si>
    <t>431.627,44</t>
  </si>
  <si>
    <t>48,46</t>
  </si>
  <si>
    <t>364.514,11</t>
  </si>
  <si>
    <t>40,93</t>
  </si>
  <si>
    <t>VIGILÂNCIA SANITÁRIA (XLIII) = (VII + XXXV)</t>
  </si>
  <si>
    <t>44.010,00</t>
  </si>
  <si>
    <t>64.010,00</t>
  </si>
  <si>
    <t>14,14</t>
  </si>
  <si>
    <t>11,31</t>
  </si>
  <si>
    <t>10,81</t>
  </si>
  <si>
    <t>VIGILÂNCIA EPIDEMIOLÓGICA (XLIV) = (VIII + XXXVI)</t>
  </si>
  <si>
    <t>1.250.196,89</t>
  </si>
  <si>
    <t>2.470.018,89</t>
  </si>
  <si>
    <t>1.831.241,20</t>
  </si>
  <si>
    <t>74,14</t>
  </si>
  <si>
    <t>1.659.922,99</t>
  </si>
  <si>
    <t>67,20</t>
  </si>
  <si>
    <t>1.551.475,11</t>
  </si>
  <si>
    <t>62,81</t>
  </si>
  <si>
    <t>ALIMENTAÇÃO E NUTRIÇÃO (XLV) = (XIX + XXXVII)</t>
  </si>
  <si>
    <t>7.348.464,42</t>
  </si>
  <si>
    <t>7.262.034,57</t>
  </si>
  <si>
    <t>3.128.459,60</t>
  </si>
  <si>
    <t>43,08</t>
  </si>
  <si>
    <t>2.987.171,99</t>
  </si>
  <si>
    <t>41,13</t>
  </si>
  <si>
    <t>2.516.396,10</t>
  </si>
  <si>
    <t>34,65</t>
  </si>
  <si>
    <t>TOTAL DAS DESPESAS COM SAÚDE (XLVII) = (XI + XXXIX)</t>
  </si>
  <si>
    <t>27.215.844,71</t>
  </si>
  <si>
    <t>29.327.281,22</t>
  </si>
  <si>
    <t>15.251.644,38</t>
  </si>
  <si>
    <t>52,00</t>
  </si>
  <si>
    <t>13.971.037,07</t>
  </si>
  <si>
    <t>47,64</t>
  </si>
  <si>
    <t>12.695.816,84</t>
  </si>
  <si>
    <t>43,29</t>
  </si>
  <si>
    <t>(-) Despesas executadas com recursos provenientes das transferências de recursos de outros entes³</t>
  </si>
  <si>
    <t>7.063.564,78</t>
  </si>
  <si>
    <t>9.175.001,29</t>
  </si>
  <si>
    <t>TOTAL DAS DESPESAS EXECUTADAS COM RECURSOS PRÓPRIOS (XLVIII)</t>
  </si>
  <si>
    <t>20.152.279,93</t>
  </si>
  <si>
    <t>FONTE: GOVBR RF - Responsabilidade Fiscal, SECRETARIA DE MUNICÍPIO DA FAZENDA, 28/Jul/2021, 13h e 53m.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</si>
  <si>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</si>
  <si>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</si>
  <si>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</si>
  <si>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³Essas despesas são consideradas executadas pelo ente transferidor.</t>
  </si>
  <si>
    <t>30,00% para as aplicaçoes maximas no FUNDEB</t>
  </si>
  <si>
    <t>Restos Cancelados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</si>
</sst>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_(* #,##0.00_);_(* \(#,##0.00\);_(* &quot;-&quot;??_);_(@_)"/>
    <numFmt numFmtId="165" formatCode="###,###,###,##0.00"/>
    <numFmt numFmtId="166" formatCode="##0.00"/>
    <numFmt numFmtId="167" formatCode="_(\ #,##0.00_);_(\ \-#,##0.00_);_(\ \-\ ??_);_(@_)"/>
    <numFmt numFmtId="168" formatCode="###0.0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8"/>
      <name val="Arial"/>
      <family val="2"/>
    </font>
    <font>
      <sz val="8"/>
      <color indexed="63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7"/>
      <color theme="1"/>
      <name val="Arial"/>
      <family val="2"/>
    </font>
    <font>
      <b/>
      <sz val="8"/>
      <name val="Times New Roman"/>
      <family val="1"/>
    </font>
    <font>
      <b/>
      <sz val="6"/>
      <name val="Arial"/>
      <family val="2"/>
    </font>
    <font>
      <sz val="6"/>
      <color rgb="FFFF0000"/>
      <name val="Arial"/>
      <family val="2"/>
    </font>
    <font>
      <u/>
      <sz val="6"/>
      <name val="Arial"/>
      <family val="2"/>
    </font>
    <font>
      <b/>
      <u/>
      <sz val="6"/>
      <name val="Arial"/>
      <family val="2"/>
    </font>
    <font>
      <b/>
      <u/>
      <sz val="6"/>
      <color rgb="FFFF0000"/>
      <name val="Arial"/>
      <family val="2"/>
    </font>
    <font>
      <u/>
      <sz val="6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b/>
      <sz val="6"/>
      <color rgb="FFFF0000"/>
      <name val="Arial"/>
      <family val="2"/>
    </font>
    <font>
      <sz val="7"/>
      <color rgb="FFFF0000"/>
      <name val="Arial"/>
      <family val="2"/>
    </font>
    <font>
      <sz val="6"/>
      <color indexed="8"/>
      <name val="Calibri"/>
      <family val="2"/>
    </font>
    <font>
      <b/>
      <sz val="6"/>
      <color indexed="8"/>
      <name val="Calibri"/>
      <family val="2"/>
    </font>
    <font>
      <b/>
      <sz val="9"/>
      <name val="Arial"/>
      <family val="2"/>
    </font>
    <font>
      <b/>
      <sz val="7"/>
      <name val="Arial"/>
      <family val="2"/>
    </font>
    <font>
      <b/>
      <u/>
      <sz val="8"/>
      <name val="Times New Roman"/>
      <family val="1"/>
    </font>
    <font>
      <b/>
      <u val="singleAccounting"/>
      <sz val="8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sz val="6"/>
      <name val="Calibri"/>
      <family val="2"/>
    </font>
    <font>
      <b/>
      <sz val="6"/>
      <color rgb="FFFF0000"/>
      <name val="Calibri"/>
      <family val="2"/>
      <scheme val="minor"/>
    </font>
    <font>
      <sz val="6"/>
      <color indexed="63"/>
      <name val="Times New Roman"/>
      <family val="1"/>
    </font>
    <font>
      <b/>
      <sz val="6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u/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7"/>
      <color theme="1"/>
      <name val="Calibri"/>
      <family val="2"/>
      <scheme val="minor"/>
    </font>
    <font>
      <sz val="6"/>
      <color rgb="FF000000"/>
      <name val="Arial Narrow"/>
      <family val="2"/>
    </font>
    <font>
      <b/>
      <u/>
      <sz val="8"/>
      <color theme="1"/>
      <name val="Calibri"/>
      <family val="2"/>
      <scheme val="minor"/>
    </font>
    <font>
      <sz val="8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82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" xfId="0" applyFont="1" applyBorder="1"/>
    <xf numFmtId="0" fontId="5" fillId="0" borderId="1" xfId="0" applyFont="1" applyBorder="1"/>
    <xf numFmtId="0" fontId="2" fillId="0" borderId="11" xfId="0" applyFont="1" applyBorder="1"/>
    <xf numFmtId="0" fontId="2" fillId="0" borderId="13" xfId="0" applyFont="1" applyBorder="1"/>
    <xf numFmtId="43" fontId="2" fillId="0" borderId="1" xfId="1" applyFont="1" applyBorder="1"/>
    <xf numFmtId="0" fontId="3" fillId="0" borderId="1" xfId="0" applyFont="1" applyBorder="1" applyAlignment="1">
      <alignment horizontal="center"/>
    </xf>
    <xf numFmtId="0" fontId="9" fillId="0" borderId="1" xfId="0" applyFont="1" applyBorder="1"/>
    <xf numFmtId="43" fontId="3" fillId="0" borderId="1" xfId="1" applyFont="1" applyBorder="1"/>
    <xf numFmtId="43" fontId="3" fillId="0" borderId="1" xfId="0" applyNumberFormat="1" applyFont="1" applyBorder="1"/>
    <xf numFmtId="43" fontId="2" fillId="0" borderId="1" xfId="0" applyNumberFormat="1" applyFont="1" applyBorder="1"/>
    <xf numFmtId="0" fontId="4" fillId="0" borderId="0" xfId="0" applyFont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2" xfId="0" applyFont="1" applyBorder="1"/>
    <xf numFmtId="0" fontId="0" fillId="0" borderId="19" xfId="0" applyBorder="1"/>
    <xf numFmtId="0" fontId="5" fillId="0" borderId="3" xfId="0" applyFont="1" applyBorder="1"/>
    <xf numFmtId="0" fontId="0" fillId="0" borderId="10" xfId="0" applyBorder="1"/>
    <xf numFmtId="0" fontId="9" fillId="0" borderId="0" xfId="0" applyFont="1"/>
    <xf numFmtId="0" fontId="5" fillId="0" borderId="19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17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18" xfId="0" applyFont="1" applyBorder="1"/>
    <xf numFmtId="0" fontId="9" fillId="0" borderId="2" xfId="0" applyFont="1" applyBorder="1"/>
    <xf numFmtId="0" fontId="9" fillId="0" borderId="19" xfId="0" applyFont="1" applyBorder="1"/>
    <xf numFmtId="0" fontId="9" fillId="0" borderId="3" xfId="0" applyFont="1" applyBorder="1"/>
    <xf numFmtId="0" fontId="5" fillId="0" borderId="0" xfId="0" applyFont="1" applyBorder="1"/>
    <xf numFmtId="0" fontId="9" fillId="0" borderId="13" xfId="0" applyFont="1" applyBorder="1"/>
    <xf numFmtId="0" fontId="9" fillId="0" borderId="0" xfId="0" applyFont="1" applyBorder="1"/>
    <xf numFmtId="17" fontId="6" fillId="0" borderId="20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9" fillId="0" borderId="9" xfId="0" applyFont="1" applyBorder="1"/>
    <xf numFmtId="0" fontId="6" fillId="0" borderId="18" xfId="0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7" fontId="6" fillId="0" borderId="17" xfId="0" applyNumberFormat="1" applyFont="1" applyBorder="1" applyAlignment="1">
      <alignment horizontal="center"/>
    </xf>
    <xf numFmtId="164" fontId="6" fillId="0" borderId="1" xfId="1" applyNumberFormat="1" applyFont="1" applyBorder="1"/>
    <xf numFmtId="164" fontId="9" fillId="0" borderId="9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3" fontId="9" fillId="0" borderId="1" xfId="1" applyFont="1" applyBorder="1"/>
    <xf numFmtId="43" fontId="9" fillId="0" borderId="1" xfId="0" applyNumberFormat="1" applyFont="1" applyBorder="1"/>
    <xf numFmtId="43" fontId="5" fillId="0" borderId="1" xfId="1" applyFont="1" applyBorder="1"/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10" fillId="0" borderId="0" xfId="0" applyFont="1" applyProtection="1">
      <protection hidden="1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0" fillId="0" borderId="0" xfId="0" applyFont="1"/>
    <xf numFmtId="0" fontId="11" fillId="0" borderId="0" xfId="0" applyFont="1" applyAlignment="1" applyProtection="1">
      <alignment horizontal="center"/>
      <protection hidden="1"/>
    </xf>
    <xf numFmtId="0" fontId="6" fillId="0" borderId="0" xfId="0" applyFont="1"/>
    <xf numFmtId="4" fontId="6" fillId="0" borderId="0" xfId="0" applyNumberFormat="1" applyFont="1"/>
    <xf numFmtId="164" fontId="6" fillId="0" borderId="0" xfId="1" applyNumberFormat="1" applyFont="1"/>
    <xf numFmtId="164" fontId="8" fillId="0" borderId="1" xfId="1" applyNumberFormat="1" applyFont="1" applyBorder="1"/>
    <xf numFmtId="0" fontId="6" fillId="0" borderId="0" xfId="0" applyFont="1" applyBorder="1" applyAlignment="1">
      <alignment horizontal="center"/>
    </xf>
    <xf numFmtId="0" fontId="1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43" fontId="0" fillId="0" borderId="0" xfId="1" applyNumberFormat="1" applyFont="1"/>
    <xf numFmtId="0" fontId="2" fillId="0" borderId="0" xfId="0" applyFont="1" applyAlignment="1">
      <alignment horizontal="right"/>
    </xf>
    <xf numFmtId="10" fontId="2" fillId="0" borderId="0" xfId="0" applyNumberFormat="1" applyFont="1"/>
    <xf numFmtId="9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43" fontId="0" fillId="0" borderId="0" xfId="0" applyNumberFormat="1"/>
    <xf numFmtId="164" fontId="0" fillId="0" borderId="0" xfId="1" applyNumberFormat="1" applyFont="1"/>
    <xf numFmtId="4" fontId="0" fillId="0" borderId="0" xfId="0" applyNumberFormat="1"/>
    <xf numFmtId="0" fontId="2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3" fillId="0" borderId="1" xfId="0" applyFont="1" applyBorder="1"/>
    <xf numFmtId="4" fontId="14" fillId="0" borderId="1" xfId="0" applyNumberFormat="1" applyFont="1" applyBorder="1"/>
    <xf numFmtId="4" fontId="15" fillId="0" borderId="1" xfId="0" applyNumberFormat="1" applyFont="1" applyBorder="1" applyAlignment="1">
      <alignment horizontal="right"/>
    </xf>
    <xf numFmtId="43" fontId="2" fillId="0" borderId="1" xfId="1" applyNumberFormat="1" applyFont="1" applyBorder="1"/>
    <xf numFmtId="43" fontId="0" fillId="0" borderId="1" xfId="0" applyNumberFormat="1" applyBorder="1"/>
    <xf numFmtId="164" fontId="0" fillId="0" borderId="1" xfId="1" applyNumberFormat="1" applyFont="1" applyBorder="1"/>
    <xf numFmtId="4" fontId="13" fillId="0" borderId="15" xfId="0" applyNumberFormat="1" applyFont="1" applyBorder="1"/>
    <xf numFmtId="0" fontId="13" fillId="0" borderId="14" xfId="0" applyFont="1" applyFill="1" applyBorder="1"/>
    <xf numFmtId="43" fontId="2" fillId="0" borderId="0" xfId="1" applyNumberFormat="1" applyFont="1"/>
    <xf numFmtId="4" fontId="7" fillId="0" borderId="0" xfId="0" applyNumberFormat="1" applyFont="1" applyAlignment="1">
      <alignment horizontal="right"/>
    </xf>
    <xf numFmtId="0" fontId="13" fillId="0" borderId="0" xfId="0" applyFont="1" applyFill="1" applyBorder="1"/>
    <xf numFmtId="0" fontId="4" fillId="0" borderId="0" xfId="0" applyFont="1" applyAlignment="1">
      <alignment horizontal="right"/>
    </xf>
    <xf numFmtId="43" fontId="3" fillId="0" borderId="0" xfId="1" applyNumberFormat="1" applyFont="1" applyAlignment="1">
      <alignment horizontal="center"/>
    </xf>
    <xf numFmtId="0" fontId="0" fillId="0" borderId="1" xfId="0" applyBorder="1"/>
    <xf numFmtId="4" fontId="17" fillId="0" borderId="1" xfId="0" applyNumberFormat="1" applyFont="1" applyBorder="1"/>
    <xf numFmtId="164" fontId="13" fillId="0" borderId="1" xfId="1" applyNumberFormat="1" applyFont="1" applyBorder="1"/>
    <xf numFmtId="4" fontId="13" fillId="0" borderId="1" xfId="0" applyNumberFormat="1" applyFont="1" applyBorder="1"/>
    <xf numFmtId="0" fontId="18" fillId="0" borderId="0" xfId="0" applyFont="1" applyAlignment="1">
      <alignment horizontal="right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164" fontId="18" fillId="0" borderId="0" xfId="1" applyNumberFormat="1" applyFont="1" applyAlignment="1">
      <alignment horizontal="center"/>
    </xf>
    <xf numFmtId="164" fontId="18" fillId="0" borderId="0" xfId="1" applyNumberFormat="1" applyFont="1"/>
    <xf numFmtId="4" fontId="19" fillId="0" borderId="0" xfId="0" applyNumberFormat="1" applyFont="1"/>
    <xf numFmtId="3" fontId="6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18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4" fontId="6" fillId="0" borderId="1" xfId="0" applyNumberFormat="1" applyFont="1" applyBorder="1"/>
    <xf numFmtId="4" fontId="19" fillId="0" borderId="1" xfId="0" applyNumberFormat="1" applyFont="1" applyBorder="1"/>
    <xf numFmtId="164" fontId="19" fillId="0" borderId="1" xfId="1" applyNumberFormat="1" applyFont="1" applyBorder="1"/>
    <xf numFmtId="4" fontId="6" fillId="0" borderId="1" xfId="0" applyNumberFormat="1" applyFont="1" applyBorder="1" applyAlignment="1">
      <alignment horizontal="center"/>
    </xf>
    <xf numFmtId="0" fontId="18" fillId="0" borderId="1" xfId="0" applyFont="1" applyBorder="1"/>
    <xf numFmtId="4" fontId="20" fillId="0" borderId="1" xfId="0" applyNumberFormat="1" applyFont="1" applyBorder="1"/>
    <xf numFmtId="4" fontId="21" fillId="0" borderId="1" xfId="0" applyNumberFormat="1" applyFont="1" applyBorder="1"/>
    <xf numFmtId="4" fontId="22" fillId="0" borderId="1" xfId="0" applyNumberFormat="1" applyFont="1" applyBorder="1"/>
    <xf numFmtId="4" fontId="23" fillId="0" borderId="1" xfId="0" applyNumberFormat="1" applyFont="1" applyBorder="1"/>
    <xf numFmtId="0" fontId="18" fillId="0" borderId="0" xfId="0" applyFont="1"/>
    <xf numFmtId="0" fontId="18" fillId="0" borderId="0" xfId="0" applyFont="1" applyBorder="1"/>
    <xf numFmtId="4" fontId="20" fillId="0" borderId="0" xfId="0" applyNumberFormat="1" applyFont="1" applyBorder="1"/>
    <xf numFmtId="4" fontId="21" fillId="0" borderId="0" xfId="0" applyNumberFormat="1" applyFont="1" applyBorder="1"/>
    <xf numFmtId="4" fontId="22" fillId="0" borderId="0" xfId="0" applyNumberFormat="1" applyFont="1" applyBorder="1"/>
    <xf numFmtId="4" fontId="18" fillId="0" borderId="0" xfId="0" applyNumberFormat="1" applyFont="1"/>
    <xf numFmtId="10" fontId="22" fillId="0" borderId="0" xfId="2" applyNumberFormat="1" applyFont="1" applyBorder="1" applyAlignment="1">
      <alignment horizontal="center"/>
    </xf>
    <xf numFmtId="0" fontId="18" fillId="0" borderId="2" xfId="0" applyFont="1" applyBorder="1"/>
    <xf numFmtId="4" fontId="21" fillId="0" borderId="0" xfId="0" applyNumberFormat="1" applyFont="1"/>
    <xf numFmtId="0" fontId="21" fillId="0" borderId="0" xfId="0" applyFont="1"/>
    <xf numFmtId="3" fontId="6" fillId="0" borderId="0" xfId="0" applyNumberFormat="1" applyFont="1"/>
    <xf numFmtId="2" fontId="6" fillId="0" borderId="0" xfId="0" applyNumberFormat="1" applyFont="1" applyAlignment="1">
      <alignment horizontal="center"/>
    </xf>
    <xf numFmtId="43" fontId="6" fillId="0" borderId="0" xfId="0" applyNumberFormat="1" applyFont="1"/>
    <xf numFmtId="0" fontId="18" fillId="0" borderId="1" xfId="0" applyFont="1" applyBorder="1" applyAlignment="1">
      <alignment horizontal="right"/>
    </xf>
    <xf numFmtId="4" fontId="18" fillId="0" borderId="1" xfId="0" applyNumberFormat="1" applyFont="1" applyBorder="1"/>
    <xf numFmtId="0" fontId="18" fillId="0" borderId="19" xfId="0" applyFont="1" applyBorder="1" applyAlignment="1">
      <alignment horizontal="center"/>
    </xf>
    <xf numFmtId="0" fontId="18" fillId="0" borderId="19" xfId="0" applyFont="1" applyBorder="1"/>
    <xf numFmtId="2" fontId="18" fillId="0" borderId="19" xfId="0" applyNumberFormat="1" applyFont="1" applyBorder="1" applyAlignment="1">
      <alignment horizontal="center"/>
    </xf>
    <xf numFmtId="164" fontId="19" fillId="0" borderId="19" xfId="1" applyNumberFormat="1" applyFont="1" applyBorder="1" applyAlignment="1">
      <alignment horizontal="center"/>
    </xf>
    <xf numFmtId="164" fontId="6" fillId="0" borderId="19" xfId="1" applyNumberFormat="1" applyFont="1" applyBorder="1" applyAlignment="1">
      <alignment horizontal="center"/>
    </xf>
    <xf numFmtId="10" fontId="18" fillId="0" borderId="0" xfId="0" applyNumberFormat="1" applyFont="1"/>
    <xf numFmtId="10" fontId="6" fillId="0" borderId="0" xfId="2" applyNumberFormat="1" applyFont="1"/>
    <xf numFmtId="10" fontId="6" fillId="0" borderId="0" xfId="0" applyNumberFormat="1" applyFont="1"/>
    <xf numFmtId="43" fontId="18" fillId="0" borderId="0" xfId="0" applyNumberFormat="1" applyFont="1" applyAlignment="1">
      <alignment horizontal="right"/>
    </xf>
    <xf numFmtId="4" fontId="18" fillId="0" borderId="19" xfId="0" applyNumberFormat="1" applyFont="1" applyBorder="1"/>
    <xf numFmtId="0" fontId="18" fillId="0" borderId="19" xfId="0" applyFont="1" applyBorder="1" applyAlignment="1">
      <alignment horizontal="right"/>
    </xf>
    <xf numFmtId="10" fontId="18" fillId="0" borderId="19" xfId="2" applyNumberFormat="1" applyFont="1" applyBorder="1"/>
    <xf numFmtId="0" fontId="24" fillId="0" borderId="0" xfId="0" applyFont="1" applyAlignment="1">
      <alignment horizontal="center"/>
    </xf>
    <xf numFmtId="0" fontId="13" fillId="0" borderId="0" xfId="0" applyFont="1"/>
    <xf numFmtId="164" fontId="10" fillId="0" borderId="0" xfId="1" applyNumberFormat="1" applyFont="1"/>
    <xf numFmtId="0" fontId="10" fillId="0" borderId="8" xfId="0" applyFont="1" applyBorder="1"/>
    <xf numFmtId="0" fontId="10" fillId="0" borderId="1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/>
    <xf numFmtId="0" fontId="10" fillId="0" borderId="0" xfId="0" applyFont="1" applyBorder="1"/>
    <xf numFmtId="4" fontId="10" fillId="0" borderId="10" xfId="0" applyNumberFormat="1" applyFont="1" applyBorder="1"/>
    <xf numFmtId="4" fontId="26" fillId="0" borderId="0" xfId="0" applyNumberFormat="1" applyFont="1" applyBorder="1"/>
    <xf numFmtId="164" fontId="10" fillId="0" borderId="8" xfId="1" applyNumberFormat="1" applyFont="1" applyBorder="1"/>
    <xf numFmtId="164" fontId="10" fillId="0" borderId="14" xfId="1" applyNumberFormat="1" applyFont="1" applyBorder="1"/>
    <xf numFmtId="164" fontId="10" fillId="0" borderId="0" xfId="1" applyNumberFormat="1" applyFont="1" applyBorder="1"/>
    <xf numFmtId="164" fontId="10" fillId="0" borderId="13" xfId="1" applyNumberFormat="1" applyFont="1" applyBorder="1"/>
    <xf numFmtId="4" fontId="10" fillId="0" borderId="0" xfId="0" applyNumberFormat="1" applyFont="1" applyBorder="1"/>
    <xf numFmtId="164" fontId="10" fillId="0" borderId="10" xfId="1" applyNumberFormat="1" applyFont="1" applyBorder="1"/>
    <xf numFmtId="164" fontId="25" fillId="0" borderId="10" xfId="1" applyNumberFormat="1" applyFont="1" applyBorder="1"/>
    <xf numFmtId="0" fontId="26" fillId="0" borderId="0" xfId="0" applyFont="1" applyBorder="1"/>
    <xf numFmtId="4" fontId="26" fillId="0" borderId="10" xfId="0" applyNumberFormat="1" applyFont="1" applyBorder="1"/>
    <xf numFmtId="164" fontId="26" fillId="0" borderId="10" xfId="1" applyNumberFormat="1" applyFont="1" applyBorder="1"/>
    <xf numFmtId="164" fontId="27" fillId="0" borderId="10" xfId="1" applyNumberFormat="1" applyFont="1" applyBorder="1"/>
    <xf numFmtId="164" fontId="26" fillId="0" borderId="14" xfId="1" applyNumberFormat="1" applyFont="1" applyBorder="1"/>
    <xf numFmtId="164" fontId="26" fillId="0" borderId="0" xfId="1" applyNumberFormat="1" applyFont="1" applyBorder="1"/>
    <xf numFmtId="4" fontId="10" fillId="0" borderId="0" xfId="0" applyNumberFormat="1" applyFont="1"/>
    <xf numFmtId="164" fontId="19" fillId="0" borderId="10" xfId="1" applyNumberFormat="1" applyFont="1" applyBorder="1"/>
    <xf numFmtId="164" fontId="24" fillId="0" borderId="14" xfId="1" applyNumberFormat="1" applyFont="1" applyBorder="1"/>
    <xf numFmtId="164" fontId="19" fillId="0" borderId="0" xfId="1" applyNumberFormat="1" applyFont="1" applyBorder="1"/>
    <xf numFmtId="4" fontId="10" fillId="0" borderId="13" xfId="0" applyNumberFormat="1" applyFont="1" applyBorder="1"/>
    <xf numFmtId="0" fontId="10" fillId="0" borderId="2" xfId="0" applyFont="1" applyBorder="1"/>
    <xf numFmtId="0" fontId="10" fillId="0" borderId="3" xfId="0" applyFont="1" applyBorder="1" applyAlignment="1">
      <alignment horizontal="center"/>
    </xf>
    <xf numFmtId="4" fontId="13" fillId="0" borderId="19" xfId="0" applyNumberFormat="1" applyFont="1" applyBorder="1"/>
    <xf numFmtId="4" fontId="13" fillId="0" borderId="3" xfId="0" applyNumberFormat="1" applyFont="1" applyBorder="1"/>
    <xf numFmtId="4" fontId="13" fillId="0" borderId="2" xfId="0" applyNumberFormat="1" applyFont="1" applyBorder="1"/>
    <xf numFmtId="10" fontId="10" fillId="0" borderId="0" xfId="2" applyNumberFormat="1" applyFont="1" applyAlignment="1">
      <alignment horizontal="center"/>
    </xf>
    <xf numFmtId="164" fontId="10" fillId="0" borderId="1" xfId="1" applyNumberFormat="1" applyFont="1" applyBorder="1"/>
    <xf numFmtId="0" fontId="10" fillId="0" borderId="0" xfId="0" applyFont="1" applyAlignment="1">
      <alignment horizontal="right"/>
    </xf>
    <xf numFmtId="164" fontId="10" fillId="0" borderId="0" xfId="0" applyNumberFormat="1" applyFont="1"/>
    <xf numFmtId="164" fontId="18" fillId="0" borderId="1" xfId="1" applyNumberFormat="1" applyFont="1" applyBorder="1"/>
    <xf numFmtId="43" fontId="10" fillId="0" borderId="0" xfId="0" applyNumberFormat="1" applyFont="1"/>
    <xf numFmtId="164" fontId="25" fillId="0" borderId="1" xfId="1" applyNumberFormat="1" applyFont="1" applyBorder="1"/>
    <xf numFmtId="0" fontId="10" fillId="0" borderId="1" xfId="0" applyFont="1" applyBorder="1"/>
    <xf numFmtId="0" fontId="10" fillId="0" borderId="0" xfId="0" applyFont="1" applyBorder="1" applyAlignment="1">
      <alignment horizontal="center"/>
    </xf>
    <xf numFmtId="0" fontId="6" fillId="0" borderId="1" xfId="0" applyFont="1" applyBorder="1" applyAlignment="1"/>
    <xf numFmtId="164" fontId="28" fillId="0" borderId="1" xfId="1" applyNumberFormat="1" applyFont="1" applyBorder="1"/>
    <xf numFmtId="10" fontId="10" fillId="0" borderId="0" xfId="2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/>
    <xf numFmtId="0" fontId="10" fillId="0" borderId="1" xfId="0" applyFont="1" applyBorder="1" applyAlignment="1">
      <alignment horizontal="right"/>
    </xf>
    <xf numFmtId="164" fontId="10" fillId="0" borderId="0" xfId="2" quotePrefix="1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164" fontId="10" fillId="0" borderId="1" xfId="0" applyNumberFormat="1" applyFont="1" applyBorder="1"/>
    <xf numFmtId="10" fontId="10" fillId="0" borderId="1" xfId="2" applyNumberFormat="1" applyFont="1" applyBorder="1" applyAlignment="1">
      <alignment horizontal="center"/>
    </xf>
    <xf numFmtId="10" fontId="10" fillId="0" borderId="1" xfId="2" applyNumberFormat="1" applyFont="1" applyBorder="1"/>
    <xf numFmtId="164" fontId="10" fillId="0" borderId="1" xfId="1" applyNumberFormat="1" applyFont="1" applyFill="1" applyBorder="1" applyAlignment="1">
      <alignment horizontal="right"/>
    </xf>
    <xf numFmtId="10" fontId="13" fillId="2" borderId="1" xfId="2" applyNumberFormat="1" applyFont="1" applyFill="1" applyBorder="1" applyAlignment="1">
      <alignment horizontal="center"/>
    </xf>
    <xf numFmtId="164" fontId="13" fillId="2" borderId="1" xfId="1" applyNumberFormat="1" applyFont="1" applyFill="1" applyBorder="1"/>
    <xf numFmtId="10" fontId="13" fillId="0" borderId="1" xfId="2" applyNumberFormat="1" applyFont="1" applyBorder="1"/>
    <xf numFmtId="0" fontId="13" fillId="0" borderId="0" xfId="0" applyFont="1" applyAlignment="1">
      <alignment horizontal="left"/>
    </xf>
    <xf numFmtId="43" fontId="6" fillId="0" borderId="0" xfId="0" applyNumberFormat="1" applyFont="1" applyBorder="1" applyAlignment="1">
      <alignment horizontal="center"/>
    </xf>
    <xf numFmtId="164" fontId="26" fillId="0" borderId="1" xfId="1" applyNumberFormat="1" applyFont="1" applyBorder="1"/>
    <xf numFmtId="164" fontId="13" fillId="0" borderId="1" xfId="0" applyNumberFormat="1" applyFont="1" applyBorder="1"/>
    <xf numFmtId="164" fontId="10" fillId="0" borderId="1" xfId="1" applyNumberFormat="1" applyFont="1" applyBorder="1" applyAlignment="1">
      <alignment horizontal="center"/>
    </xf>
    <xf numFmtId="10" fontId="10" fillId="0" borderId="0" xfId="2" applyNumberFormat="1" applyFont="1" applyBorder="1"/>
    <xf numFmtId="4" fontId="10" fillId="0" borderId="1" xfId="0" applyNumberFormat="1" applyFont="1" applyBorder="1"/>
    <xf numFmtId="164" fontId="18" fillId="0" borderId="1" xfId="0" applyNumberFormat="1" applyFont="1" applyBorder="1"/>
    <xf numFmtId="164" fontId="10" fillId="0" borderId="0" xfId="1" applyNumberFormat="1" applyFont="1" applyBorder="1" applyAlignment="1">
      <alignment horizontal="center"/>
    </xf>
    <xf numFmtId="164" fontId="13" fillId="0" borderId="0" xfId="1" applyNumberFormat="1" applyFont="1" applyBorder="1"/>
    <xf numFmtId="164" fontId="6" fillId="0" borderId="0" xfId="0" applyNumberFormat="1" applyFont="1"/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4" fontId="13" fillId="0" borderId="0" xfId="0" applyNumberFormat="1" applyFont="1"/>
    <xf numFmtId="0" fontId="29" fillId="0" borderId="0" xfId="0" applyFont="1"/>
    <xf numFmtId="0" fontId="30" fillId="0" borderId="0" xfId="0" applyFont="1"/>
    <xf numFmtId="0" fontId="6" fillId="0" borderId="1" xfId="3" applyFont="1" applyBorder="1"/>
    <xf numFmtId="0" fontId="18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10" fontId="6" fillId="0" borderId="1" xfId="4" quotePrefix="1" applyNumberFormat="1" applyFont="1" applyBorder="1" applyAlignment="1">
      <alignment horizontal="center"/>
    </xf>
    <xf numFmtId="10" fontId="6" fillId="0" borderId="0" xfId="4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10" fontId="6" fillId="0" borderId="1" xfId="4" applyNumberFormat="1" applyFont="1" applyBorder="1"/>
    <xf numFmtId="164" fontId="6" fillId="0" borderId="1" xfId="5" applyFont="1" applyBorder="1"/>
    <xf numFmtId="164" fontId="6" fillId="0" borderId="0" xfId="1" applyNumberFormat="1" applyFont="1" applyBorder="1"/>
    <xf numFmtId="164" fontId="6" fillId="0" borderId="1" xfId="1" applyNumberFormat="1" applyFont="1" applyBorder="1" applyProtection="1">
      <protection hidden="1"/>
    </xf>
    <xf numFmtId="164" fontId="18" fillId="0" borderId="1" xfId="5" applyFont="1" applyBorder="1"/>
    <xf numFmtId="164" fontId="18" fillId="0" borderId="0" xfId="1" applyNumberFormat="1" applyFont="1" applyBorder="1"/>
    <xf numFmtId="10" fontId="6" fillId="0" borderId="1" xfId="4" applyNumberFormat="1" applyFont="1" applyBorder="1" applyAlignment="1">
      <alignment horizontal="center"/>
    </xf>
    <xf numFmtId="10" fontId="6" fillId="0" borderId="1" xfId="4" applyNumberFormat="1" applyFont="1" applyFill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6" fillId="0" borderId="0" xfId="3" applyFont="1"/>
    <xf numFmtId="164" fontId="6" fillId="0" borderId="0" xfId="3" applyNumberFormat="1" applyFont="1"/>
    <xf numFmtId="0" fontId="6" fillId="0" borderId="1" xfId="0" quotePrefix="1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18" fillId="0" borderId="3" xfId="0" applyFont="1" applyBorder="1"/>
    <xf numFmtId="164" fontId="6" fillId="0" borderId="2" xfId="4" applyNumberFormat="1" applyFont="1" applyBorder="1" applyAlignment="1">
      <alignment horizontal="center"/>
    </xf>
    <xf numFmtId="164" fontId="6" fillId="0" borderId="19" xfId="4" applyNumberFormat="1" applyFont="1" applyBorder="1" applyAlignment="1">
      <alignment horizontal="center"/>
    </xf>
    <xf numFmtId="0" fontId="18" fillId="0" borderId="1" xfId="3" applyFont="1" applyBorder="1"/>
    <xf numFmtId="10" fontId="6" fillId="0" borderId="0" xfId="4" applyNumberFormat="1" applyFont="1"/>
    <xf numFmtId="164" fontId="6" fillId="0" borderId="1" xfId="3" applyNumberFormat="1" applyFont="1" applyBorder="1"/>
    <xf numFmtId="0" fontId="6" fillId="0" borderId="1" xfId="0" applyFont="1" applyBorder="1"/>
    <xf numFmtId="0" fontId="18" fillId="0" borderId="1" xfId="0" quotePrefix="1" applyFont="1" applyBorder="1" applyAlignment="1">
      <alignment horizontal="center"/>
    </xf>
    <xf numFmtId="2" fontId="6" fillId="0" borderId="1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8" fillId="0" borderId="9" xfId="0" applyFont="1" applyBorder="1"/>
    <xf numFmtId="0" fontId="6" fillId="0" borderId="13" xfId="0" applyFont="1" applyBorder="1" applyAlignment="1">
      <alignment horizontal="left"/>
    </xf>
    <xf numFmtId="0" fontId="6" fillId="0" borderId="14" xfId="0" applyFont="1" applyBorder="1"/>
    <xf numFmtId="164" fontId="6" fillId="0" borderId="3" xfId="1" applyNumberFormat="1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18" fillId="0" borderId="8" xfId="0" applyFont="1" applyBorder="1"/>
    <xf numFmtId="0" fontId="6" fillId="0" borderId="2" xfId="0" applyFont="1" applyBorder="1"/>
    <xf numFmtId="0" fontId="18" fillId="0" borderId="19" xfId="0" quotePrefix="1" applyFont="1" applyBorder="1" applyAlignment="1">
      <alignment horizontal="left"/>
    </xf>
    <xf numFmtId="0" fontId="6" fillId="0" borderId="19" xfId="0" applyFont="1" applyBorder="1"/>
    <xf numFmtId="164" fontId="6" fillId="0" borderId="0" xfId="1" applyNumberFormat="1" applyFont="1" applyAlignment="1">
      <alignment horizontal="right"/>
    </xf>
    <xf numFmtId="164" fontId="18" fillId="0" borderId="0" xfId="0" applyNumberFormat="1" applyFont="1" applyBorder="1"/>
    <xf numFmtId="43" fontId="18" fillId="0" borderId="0" xfId="0" applyNumberFormat="1" applyFont="1"/>
    <xf numFmtId="0" fontId="6" fillId="0" borderId="0" xfId="0" applyFont="1" applyBorder="1"/>
    <xf numFmtId="43" fontId="6" fillId="0" borderId="0" xfId="0" applyNumberFormat="1" applyFont="1" applyBorder="1"/>
    <xf numFmtId="164" fontId="6" fillId="0" borderId="0" xfId="0" applyNumberFormat="1" applyFont="1" applyAlignment="1"/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4" fontId="6" fillId="0" borderId="13" xfId="0" applyNumberFormat="1" applyFont="1" applyBorder="1"/>
    <xf numFmtId="4" fontId="6" fillId="0" borderId="10" xfId="0" applyNumberFormat="1" applyFont="1" applyBorder="1"/>
    <xf numFmtId="164" fontId="6" fillId="0" borderId="8" xfId="1" applyNumberFormat="1" applyFont="1" applyBorder="1"/>
    <xf numFmtId="4" fontId="6" fillId="0" borderId="8" xfId="0" applyNumberFormat="1" applyFont="1" applyBorder="1"/>
    <xf numFmtId="0" fontId="6" fillId="0" borderId="13" xfId="0" applyFont="1" applyBorder="1"/>
    <xf numFmtId="0" fontId="6" fillId="0" borderId="10" xfId="0" applyFont="1" applyBorder="1"/>
    <xf numFmtId="164" fontId="6" fillId="0" borderId="10" xfId="1" applyNumberFormat="1" applyFont="1" applyBorder="1"/>
    <xf numFmtId="43" fontId="6" fillId="0" borderId="1" xfId="0" applyNumberFormat="1" applyFont="1" applyBorder="1"/>
    <xf numFmtId="4" fontId="6" fillId="0" borderId="2" xfId="0" applyNumberFormat="1" applyFont="1" applyBorder="1"/>
    <xf numFmtId="4" fontId="6" fillId="0" borderId="19" xfId="0" applyNumberFormat="1" applyFont="1" applyBorder="1"/>
    <xf numFmtId="164" fontId="6" fillId="0" borderId="19" xfId="0" applyNumberFormat="1" applyFont="1" applyBorder="1"/>
    <xf numFmtId="0" fontId="6" fillId="0" borderId="19" xfId="0" applyFont="1" applyBorder="1" applyAlignment="1">
      <alignment horizontal="right"/>
    </xf>
    <xf numFmtId="164" fontId="13" fillId="0" borderId="0" xfId="1" applyNumberFormat="1" applyFont="1"/>
    <xf numFmtId="0" fontId="31" fillId="0" borderId="0" xfId="0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8" xfId="0" quotePrefix="1" applyFont="1" applyBorder="1" applyAlignment="1">
      <alignment horizontal="center"/>
    </xf>
    <xf numFmtId="0" fontId="10" fillId="0" borderId="18" xfId="0" applyFont="1" applyBorder="1" applyAlignment="1">
      <alignment horizontal="right"/>
    </xf>
    <xf numFmtId="0" fontId="13" fillId="0" borderId="9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10" xfId="0" applyFont="1" applyBorder="1"/>
    <xf numFmtId="0" fontId="10" fillId="0" borderId="11" xfId="0" applyFont="1" applyBorder="1"/>
    <xf numFmtId="0" fontId="13" fillId="0" borderId="17" xfId="0" applyFont="1" applyBorder="1"/>
    <xf numFmtId="0" fontId="12" fillId="0" borderId="12" xfId="0" applyFont="1" applyBorder="1"/>
    <xf numFmtId="4" fontId="14" fillId="0" borderId="0" xfId="0" applyNumberFormat="1" applyFont="1" applyBorder="1"/>
    <xf numFmtId="4" fontId="14" fillId="0" borderId="8" xfId="0" applyNumberFormat="1" applyFont="1" applyBorder="1"/>
    <xf numFmtId="4" fontId="17" fillId="0" borderId="0" xfId="0" applyNumberFormat="1" applyFont="1"/>
    <xf numFmtId="4" fontId="13" fillId="0" borderId="14" xfId="0" applyNumberFormat="1" applyFont="1" applyBorder="1"/>
    <xf numFmtId="164" fontId="13" fillId="0" borderId="10" xfId="1" applyNumberFormat="1" applyFont="1" applyBorder="1"/>
    <xf numFmtId="4" fontId="12" fillId="0" borderId="0" xfId="0" applyNumberFormat="1" applyFont="1"/>
    <xf numFmtId="0" fontId="10" fillId="0" borderId="13" xfId="0" applyFont="1" applyBorder="1"/>
    <xf numFmtId="0" fontId="13" fillId="0" borderId="0" xfId="0" applyFont="1" applyBorder="1"/>
    <xf numFmtId="0" fontId="12" fillId="0" borderId="14" xfId="0" applyFont="1" applyBorder="1"/>
    <xf numFmtId="4" fontId="14" fillId="0" borderId="10" xfId="0" applyNumberFormat="1" applyFont="1" applyBorder="1"/>
    <xf numFmtId="164" fontId="12" fillId="0" borderId="0" xfId="1" applyNumberFormat="1" applyFont="1"/>
    <xf numFmtId="0" fontId="12" fillId="0" borderId="0" xfId="0" applyFont="1" applyBorder="1"/>
    <xf numFmtId="43" fontId="12" fillId="0" borderId="0" xfId="0" applyNumberFormat="1" applyFont="1"/>
    <xf numFmtId="0" fontId="13" fillId="0" borderId="9" xfId="0" applyFont="1" applyBorder="1"/>
    <xf numFmtId="0" fontId="10" fillId="0" borderId="15" xfId="0" applyFont="1" applyBorder="1"/>
    <xf numFmtId="0" fontId="12" fillId="0" borderId="18" xfId="0" applyFont="1" applyBorder="1"/>
    <xf numFmtId="0" fontId="12" fillId="0" borderId="16" xfId="0" applyFont="1" applyBorder="1"/>
    <xf numFmtId="4" fontId="14" fillId="0" borderId="9" xfId="0" applyNumberFormat="1" applyFont="1" applyBorder="1"/>
    <xf numFmtId="0" fontId="12" fillId="0" borderId="19" xfId="0" applyFont="1" applyBorder="1"/>
    <xf numFmtId="0" fontId="12" fillId="0" borderId="3" xfId="0" applyFont="1" applyBorder="1"/>
    <xf numFmtId="4" fontId="10" fillId="0" borderId="2" xfId="0" applyNumberFormat="1" applyFont="1" applyBorder="1"/>
    <xf numFmtId="4" fontId="32" fillId="0" borderId="9" xfId="0" applyNumberFormat="1" applyFont="1" applyBorder="1"/>
    <xf numFmtId="164" fontId="18" fillId="0" borderId="0" xfId="0" applyNumberFormat="1" applyFont="1"/>
    <xf numFmtId="0" fontId="33" fillId="0" borderId="0" xfId="0" applyFont="1"/>
    <xf numFmtId="0" fontId="10" fillId="0" borderId="0" xfId="0" applyFont="1" applyFill="1" applyBorder="1" applyAlignment="1">
      <alignment horizontal="left"/>
    </xf>
    <xf numFmtId="164" fontId="34" fillId="0" borderId="0" xfId="1" applyNumberFormat="1" applyFont="1"/>
    <xf numFmtId="0" fontId="13" fillId="0" borderId="0" xfId="0" applyFont="1" applyFill="1" applyBorder="1" applyAlignment="1">
      <alignment horizontal="right"/>
    </xf>
    <xf numFmtId="4" fontId="24" fillId="0" borderId="0" xfId="0" applyNumberFormat="1" applyFont="1" applyAlignment="1">
      <alignment horizontal="center"/>
    </xf>
    <xf numFmtId="0" fontId="31" fillId="0" borderId="0" xfId="0" applyFont="1"/>
    <xf numFmtId="164" fontId="12" fillId="0" borderId="0" xfId="0" applyNumberFormat="1" applyFont="1"/>
    <xf numFmtId="164" fontId="13" fillId="0" borderId="0" xfId="4" applyNumberFormat="1" applyFont="1"/>
    <xf numFmtId="0" fontId="35" fillId="0" borderId="0" xfId="0" applyFont="1" applyBorder="1"/>
    <xf numFmtId="164" fontId="31" fillId="0" borderId="0" xfId="1" applyNumberFormat="1" applyFont="1"/>
    <xf numFmtId="164" fontId="12" fillId="0" borderId="0" xfId="0" applyNumberFormat="1" applyFont="1" applyBorder="1"/>
    <xf numFmtId="17" fontId="6" fillId="0" borderId="11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4" fontId="2" fillId="0" borderId="1" xfId="0" applyNumberFormat="1" applyFont="1" applyBorder="1"/>
    <xf numFmtId="43" fontId="2" fillId="0" borderId="2" xfId="1" applyFont="1" applyBorder="1"/>
    <xf numFmtId="164" fontId="8" fillId="0" borderId="8" xfId="1" applyNumberFormat="1" applyFont="1" applyBorder="1"/>
    <xf numFmtId="0" fontId="3" fillId="0" borderId="18" xfId="0" applyFont="1" applyBorder="1"/>
    <xf numFmtId="0" fontId="36" fillId="0" borderId="0" xfId="0" applyFont="1"/>
    <xf numFmtId="0" fontId="6" fillId="0" borderId="4" xfId="0" applyFont="1" applyBorder="1"/>
    <xf numFmtId="0" fontId="6" fillId="0" borderId="22" xfId="0" applyFont="1" applyBorder="1"/>
    <xf numFmtId="0" fontId="18" fillId="0" borderId="5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15" xfId="0" applyFont="1" applyBorder="1"/>
    <xf numFmtId="164" fontId="6" fillId="0" borderId="9" xfId="0" applyNumberFormat="1" applyFont="1" applyBorder="1"/>
    <xf numFmtId="164" fontId="6" fillId="0" borderId="9" xfId="1" applyNumberFormat="1" applyFont="1" applyBorder="1"/>
    <xf numFmtId="10" fontId="18" fillId="0" borderId="1" xfId="4" applyNumberFormat="1" applyFont="1" applyBorder="1" applyAlignment="1">
      <alignment horizontal="center"/>
    </xf>
    <xf numFmtId="10" fontId="6" fillId="0" borderId="0" xfId="0" applyNumberFormat="1" applyFont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0" xfId="0" quotePrefix="1" applyFont="1"/>
    <xf numFmtId="0" fontId="6" fillId="0" borderId="19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37" fillId="0" borderId="1" xfId="0" applyFont="1" applyBorder="1" applyAlignment="1">
      <alignment wrapText="1"/>
    </xf>
    <xf numFmtId="0" fontId="2" fillId="0" borderId="15" xfId="0" applyFont="1" applyBorder="1"/>
    <xf numFmtId="0" fontId="2" fillId="0" borderId="18" xfId="0" applyFont="1" applyBorder="1"/>
    <xf numFmtId="4" fontId="5" fillId="0" borderId="1" xfId="0" applyNumberFormat="1" applyFont="1" applyBorder="1"/>
    <xf numFmtId="164" fontId="5" fillId="0" borderId="9" xfId="0" applyNumberFormat="1" applyFont="1" applyBorder="1"/>
    <xf numFmtId="10" fontId="6" fillId="0" borderId="0" xfId="2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right"/>
    </xf>
    <xf numFmtId="164" fontId="38" fillId="0" borderId="9" xfId="0" applyNumberFormat="1" applyFont="1" applyBorder="1"/>
    <xf numFmtId="43" fontId="5" fillId="0" borderId="1" xfId="0" applyNumberFormat="1" applyFont="1" applyBorder="1"/>
    <xf numFmtId="43" fontId="5" fillId="0" borderId="0" xfId="0" applyNumberFormat="1" applyFont="1"/>
    <xf numFmtId="0" fontId="9" fillId="0" borderId="3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9" fillId="0" borderId="2" xfId="0" applyFont="1" applyBorder="1" applyAlignment="1">
      <alignment horizontal="left"/>
    </xf>
    <xf numFmtId="0" fontId="39" fillId="0" borderId="0" xfId="0" applyFont="1" applyAlignment="1">
      <alignment horizontal="center"/>
    </xf>
    <xf numFmtId="0" fontId="6" fillId="0" borderId="0" xfId="0" applyFont="1" applyProtection="1">
      <protection hidden="1"/>
    </xf>
    <xf numFmtId="0" fontId="39" fillId="0" borderId="0" xfId="0" applyFont="1" applyAlignment="1"/>
    <xf numFmtId="0" fontId="39" fillId="0" borderId="0" xfId="0" applyFont="1" applyAlignment="1" applyProtection="1">
      <alignment horizontal="center"/>
      <protection hidden="1"/>
    </xf>
    <xf numFmtId="0" fontId="6" fillId="0" borderId="0" xfId="0" applyFont="1" applyAlignment="1">
      <alignment horizontal="left"/>
    </xf>
    <xf numFmtId="0" fontId="40" fillId="0" borderId="0" xfId="0" applyFont="1"/>
    <xf numFmtId="0" fontId="6" fillId="0" borderId="0" xfId="0" applyFont="1" applyAlignment="1"/>
    <xf numFmtId="43" fontId="6" fillId="0" borderId="0" xfId="0" applyNumberFormat="1" applyFont="1" applyAlignment="1">
      <alignment horizontal="left"/>
    </xf>
    <xf numFmtId="43" fontId="6" fillId="0" borderId="0" xfId="0" applyNumberFormat="1" applyFont="1" applyProtection="1">
      <protection hidden="1"/>
    </xf>
    <xf numFmtId="164" fontId="13" fillId="0" borderId="0" xfId="0" applyNumberFormat="1" applyFont="1"/>
    <xf numFmtId="43" fontId="41" fillId="0" borderId="0" xfId="1" applyNumberFormat="1" applyFont="1" applyAlignment="1">
      <alignment horizontal="center"/>
    </xf>
    <xf numFmtId="43" fontId="42" fillId="0" borderId="0" xfId="1" applyNumberFormat="1" applyFont="1" applyAlignment="1">
      <alignment horizontal="center"/>
    </xf>
    <xf numFmtId="43" fontId="2" fillId="0" borderId="0" xfId="1" applyFont="1"/>
    <xf numFmtId="0" fontId="3" fillId="0" borderId="0" xfId="0" applyFont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right"/>
    </xf>
    <xf numFmtId="3" fontId="4" fillId="0" borderId="19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4" fontId="6" fillId="0" borderId="15" xfId="0" applyNumberFormat="1" applyFont="1" applyBorder="1"/>
    <xf numFmtId="0" fontId="6" fillId="0" borderId="16" xfId="0" applyFont="1" applyBorder="1"/>
    <xf numFmtId="0" fontId="18" fillId="0" borderId="11" xfId="0" applyFont="1" applyBorder="1" applyAlignment="1">
      <alignment horizontal="center"/>
    </xf>
    <xf numFmtId="0" fontId="6" fillId="0" borderId="12" xfId="0" applyFont="1" applyBorder="1"/>
    <xf numFmtId="4" fontId="6" fillId="0" borderId="18" xfId="0" applyNumberFormat="1" applyFont="1" applyBorder="1"/>
    <xf numFmtId="0" fontId="6" fillId="0" borderId="18" xfId="0" applyFont="1" applyBorder="1"/>
    <xf numFmtId="4" fontId="6" fillId="0" borderId="11" xfId="0" applyNumberFormat="1" applyFont="1" applyBorder="1"/>
    <xf numFmtId="0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0" fontId="0" fillId="0" borderId="26" xfId="0" applyBorder="1"/>
    <xf numFmtId="0" fontId="2" fillId="0" borderId="22" xfId="0" applyNumberFormat="1" applyFont="1" applyBorder="1" applyAlignment="1">
      <alignment horizontal="left"/>
    </xf>
    <xf numFmtId="0" fontId="0" fillId="0" borderId="20" xfId="0" applyBorder="1"/>
    <xf numFmtId="0" fontId="2" fillId="3" borderId="20" xfId="0" applyNumberFormat="1" applyFont="1" applyFill="1" applyBorder="1" applyAlignment="1">
      <alignment horizontal="center"/>
    </xf>
    <xf numFmtId="0" fontId="2" fillId="3" borderId="24" xfId="0" applyNumberFormat="1" applyFont="1" applyFill="1" applyBorder="1" applyAlignment="1">
      <alignment horizontal="center"/>
    </xf>
    <xf numFmtId="165" fontId="2" fillId="0" borderId="20" xfId="0" applyNumberFormat="1" applyFont="1" applyBorder="1" applyAlignment="1">
      <alignment horizontal="right"/>
    </xf>
    <xf numFmtId="165" fontId="2" fillId="0" borderId="24" xfId="0" applyNumberFormat="1" applyFont="1" applyBorder="1" applyAlignment="1">
      <alignment horizontal="right"/>
    </xf>
    <xf numFmtId="0" fontId="2" fillId="3" borderId="4" xfId="0" applyNumberFormat="1" applyFont="1" applyFill="1" applyBorder="1" applyAlignment="1">
      <alignment horizontal="center"/>
    </xf>
    <xf numFmtId="0" fontId="2" fillId="3" borderId="25" xfId="0" applyNumberFormat="1" applyFont="1" applyFill="1" applyBorder="1" applyAlignment="1">
      <alignment horizontal="center"/>
    </xf>
    <xf numFmtId="165" fontId="2" fillId="0" borderId="4" xfId="0" applyNumberFormat="1" applyFont="1" applyBorder="1" applyAlignment="1">
      <alignment horizontal="right"/>
    </xf>
    <xf numFmtId="0" fontId="44" fillId="0" borderId="23" xfId="0" applyNumberFormat="1" applyFont="1" applyBorder="1" applyAlignment="1">
      <alignment horizontal="left"/>
    </xf>
    <xf numFmtId="165" fontId="2" fillId="0" borderId="25" xfId="0" applyNumberFormat="1" applyFont="1" applyBorder="1" applyAlignment="1">
      <alignment horizontal="right"/>
    </xf>
    <xf numFmtId="165" fontId="2" fillId="0" borderId="28" xfId="0" applyNumberFormat="1" applyFont="1" applyBorder="1" applyAlignment="1">
      <alignment horizontal="right"/>
    </xf>
    <xf numFmtId="165" fontId="2" fillId="0" borderId="29" xfId="0" applyNumberFormat="1" applyFont="1" applyBorder="1" applyAlignment="1">
      <alignment horizontal="right"/>
    </xf>
    <xf numFmtId="9" fontId="2" fillId="0" borderId="20" xfId="0" applyNumberFormat="1" applyFont="1" applyBorder="1" applyAlignment="1">
      <alignment horizontal="right"/>
    </xf>
    <xf numFmtId="9" fontId="2" fillId="0" borderId="24" xfId="0" applyNumberFormat="1" applyFont="1" applyBorder="1" applyAlignment="1">
      <alignment horizontal="right"/>
    </xf>
    <xf numFmtId="0" fontId="42" fillId="0" borderId="0" xfId="0" applyFont="1" applyAlignment="1">
      <alignment horizontal="justify" vertical="justify"/>
    </xf>
    <xf numFmtId="43" fontId="0" fillId="0" borderId="0" xfId="1" applyFont="1"/>
    <xf numFmtId="4" fontId="6" fillId="0" borderId="0" xfId="0" applyNumberFormat="1" applyFont="1" applyBorder="1"/>
    <xf numFmtId="0" fontId="6" fillId="0" borderId="9" xfId="0" applyFont="1" applyBorder="1"/>
    <xf numFmtId="0" fontId="5" fillId="0" borderId="1" xfId="0" applyFont="1" applyFill="1" applyBorder="1" applyAlignment="1">
      <alignment horizontal="center"/>
    </xf>
    <xf numFmtId="4" fontId="2" fillId="0" borderId="0" xfId="0" applyNumberFormat="1" applyFont="1"/>
    <xf numFmtId="43" fontId="10" fillId="0" borderId="0" xfId="1" applyFont="1"/>
    <xf numFmtId="0" fontId="42" fillId="0" borderId="0" xfId="0" applyNumberFormat="1" applyFont="1" applyAlignment="1">
      <alignment horizontal="left"/>
    </xf>
    <xf numFmtId="49" fontId="42" fillId="0" borderId="0" xfId="0" applyNumberFormat="1" applyFont="1" applyAlignment="1">
      <alignment horizontal="right"/>
    </xf>
    <xf numFmtId="0" fontId="3" fillId="3" borderId="12" xfId="0" applyNumberFormat="1" applyFont="1" applyFill="1" applyBorder="1" applyAlignment="1">
      <alignment horizontal="center"/>
    </xf>
    <xf numFmtId="0" fontId="2" fillId="0" borderId="12" xfId="0" applyNumberFormat="1" applyFont="1" applyBorder="1" applyAlignment="1">
      <alignment horizontal="left"/>
    </xf>
    <xf numFmtId="0" fontId="2" fillId="0" borderId="14" xfId="0" applyNumberFormat="1" applyFont="1" applyBorder="1" applyAlignment="1">
      <alignment horizontal="left"/>
    </xf>
    <xf numFmtId="0" fontId="2" fillId="0" borderId="16" xfId="0" applyNumberFormat="1" applyFont="1" applyBorder="1" applyAlignment="1">
      <alignment horizontal="left"/>
    </xf>
    <xf numFmtId="0" fontId="3" fillId="3" borderId="8" xfId="0" applyNumberFormat="1" applyFont="1" applyFill="1" applyBorder="1" applyAlignment="1">
      <alignment horizontal="center"/>
    </xf>
    <xf numFmtId="0" fontId="3" fillId="3" borderId="11" xfId="0" applyNumberFormat="1" applyFont="1" applyFill="1" applyBorder="1" applyAlignment="1">
      <alignment horizontal="center"/>
    </xf>
    <xf numFmtId="167" fontId="2" fillId="0" borderId="8" xfId="0" applyNumberFormat="1" applyFont="1" applyBorder="1" applyAlignment="1">
      <alignment horizontal="right"/>
    </xf>
    <xf numFmtId="167" fontId="2" fillId="0" borderId="11" xfId="0" applyNumberFormat="1" applyFont="1" applyBorder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7" fontId="2" fillId="0" borderId="1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7" fontId="2" fillId="0" borderId="15" xfId="0" applyNumberFormat="1" applyFont="1" applyBorder="1" applyAlignment="1">
      <alignment horizontal="right"/>
    </xf>
    <xf numFmtId="0" fontId="0" fillId="0" borderId="13" xfId="0" applyBorder="1"/>
    <xf numFmtId="0" fontId="46" fillId="0" borderId="0" xfId="0" applyFont="1" applyFill="1" applyAlignment="1">
      <alignment horizontal="right" vertical="top"/>
    </xf>
    <xf numFmtId="0" fontId="0" fillId="0" borderId="30" xfId="0" applyBorder="1"/>
    <xf numFmtId="0" fontId="0" fillId="0" borderId="35" xfId="0" applyBorder="1"/>
    <xf numFmtId="0" fontId="49" fillId="4" borderId="31" xfId="0" applyFont="1" applyFill="1" applyBorder="1" applyAlignment="1">
      <alignment horizontal="center" vertical="center" wrapText="1"/>
    </xf>
    <xf numFmtId="0" fontId="50" fillId="0" borderId="39" xfId="0" applyFont="1" applyFill="1" applyBorder="1" applyAlignment="1">
      <alignment vertical="center"/>
    </xf>
    <xf numFmtId="0" fontId="50" fillId="0" borderId="39" xfId="0" applyFont="1" applyFill="1" applyBorder="1" applyAlignment="1">
      <alignment horizontal="right" vertical="center"/>
    </xf>
    <xf numFmtId="0" fontId="50" fillId="0" borderId="41" xfId="0" applyFont="1" applyFill="1" applyBorder="1" applyAlignment="1">
      <alignment vertical="center"/>
    </xf>
    <xf numFmtId="0" fontId="50" fillId="0" borderId="41" xfId="0" applyFont="1" applyFill="1" applyBorder="1" applyAlignment="1">
      <alignment horizontal="right" vertical="center"/>
    </xf>
    <xf numFmtId="0" fontId="50" fillId="0" borderId="36" xfId="0" applyFont="1" applyFill="1" applyBorder="1" applyAlignment="1">
      <alignment vertical="center"/>
    </xf>
    <xf numFmtId="0" fontId="50" fillId="0" borderId="36" xfId="0" applyFont="1" applyFill="1" applyBorder="1" applyAlignment="1">
      <alignment horizontal="right" vertical="center"/>
    </xf>
    <xf numFmtId="0" fontId="50" fillId="0" borderId="31" xfId="0" applyFont="1" applyFill="1" applyBorder="1" applyAlignment="1">
      <alignment vertical="center"/>
    </xf>
    <xf numFmtId="0" fontId="50" fillId="0" borderId="31" xfId="0" applyFont="1" applyFill="1" applyBorder="1" applyAlignment="1">
      <alignment horizontal="right" vertical="center"/>
    </xf>
    <xf numFmtId="0" fontId="50" fillId="5" borderId="31" xfId="0" applyFont="1" applyFill="1" applyBorder="1" applyAlignment="1">
      <alignment vertical="center"/>
    </xf>
    <xf numFmtId="0" fontId="50" fillId="5" borderId="31" xfId="0" applyFont="1" applyFill="1" applyBorder="1" applyAlignment="1">
      <alignment horizontal="right" vertical="center"/>
    </xf>
    <xf numFmtId="0" fontId="0" fillId="0" borderId="33" xfId="0" applyBorder="1"/>
    <xf numFmtId="4" fontId="50" fillId="0" borderId="39" xfId="0" applyNumberFormat="1" applyFont="1" applyFill="1" applyBorder="1" applyAlignment="1">
      <alignment horizontal="right" vertical="center"/>
    </xf>
    <xf numFmtId="0" fontId="45" fillId="0" borderId="35" xfId="0" applyFont="1" applyFill="1" applyBorder="1" applyAlignment="1">
      <alignment vertical="top"/>
    </xf>
    <xf numFmtId="4" fontId="50" fillId="0" borderId="41" xfId="0" applyNumberFormat="1" applyFont="1" applyFill="1" applyBorder="1" applyAlignment="1">
      <alignment horizontal="right" vertical="center"/>
    </xf>
    <xf numFmtId="4" fontId="50" fillId="0" borderId="36" xfId="0" applyNumberFormat="1" applyFont="1" applyFill="1" applyBorder="1" applyAlignment="1">
      <alignment horizontal="right" vertical="center"/>
    </xf>
    <xf numFmtId="4" fontId="50" fillId="0" borderId="31" xfId="0" applyNumberFormat="1" applyFont="1" applyFill="1" applyBorder="1" applyAlignment="1">
      <alignment horizontal="right" vertical="center"/>
    </xf>
    <xf numFmtId="4" fontId="50" fillId="5" borderId="31" xfId="0" applyNumberFormat="1" applyFont="1" applyFill="1" applyBorder="1" applyAlignment="1">
      <alignment horizontal="right" vertical="center"/>
    </xf>
    <xf numFmtId="0" fontId="0" fillId="0" borderId="40" xfId="0" applyBorder="1"/>
    <xf numFmtId="0" fontId="2" fillId="3" borderId="8" xfId="0" applyNumberFormat="1" applyFont="1" applyFill="1" applyBorder="1" applyAlignment="1">
      <alignment horizontal="center"/>
    </xf>
    <xf numFmtId="0" fontId="2" fillId="3" borderId="11" xfId="0" applyNumberFormat="1" applyFont="1" applyFill="1" applyBorder="1" applyAlignment="1">
      <alignment horizontal="center"/>
    </xf>
    <xf numFmtId="0" fontId="2" fillId="3" borderId="10" xfId="0" applyNumberFormat="1" applyFont="1" applyFill="1" applyBorder="1" applyAlignment="1">
      <alignment horizontal="center"/>
    </xf>
    <xf numFmtId="0" fontId="2" fillId="3" borderId="13" xfId="0" applyNumberFormat="1" applyFont="1" applyFill="1" applyBorder="1" applyAlignment="1">
      <alignment horizontal="center"/>
    </xf>
    <xf numFmtId="0" fontId="2" fillId="3" borderId="9" xfId="0" applyNumberFormat="1" applyFont="1" applyFill="1" applyBorder="1" applyAlignment="1">
      <alignment horizontal="center"/>
    </xf>
    <xf numFmtId="0" fontId="2" fillId="3" borderId="15" xfId="0" applyNumberFormat="1" applyFont="1" applyFill="1" applyBorder="1" applyAlignment="1">
      <alignment horizontal="center"/>
    </xf>
    <xf numFmtId="0" fontId="51" fillId="0" borderId="14" xfId="0" applyNumberFormat="1" applyFont="1" applyBorder="1" applyAlignment="1">
      <alignment horizontal="left"/>
    </xf>
    <xf numFmtId="165" fontId="3" fillId="0" borderId="10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8" fontId="2" fillId="0" borderId="10" xfId="0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165" fontId="3" fillId="3" borderId="8" xfId="0" applyNumberFormat="1" applyFont="1" applyFill="1" applyBorder="1" applyAlignment="1">
      <alignment horizontal="right"/>
    </xf>
    <xf numFmtId="49" fontId="3" fillId="3" borderId="8" xfId="0" applyNumberFormat="1" applyFont="1" applyFill="1" applyBorder="1" applyAlignment="1">
      <alignment horizontal="right"/>
    </xf>
    <xf numFmtId="165" fontId="3" fillId="3" borderId="11" xfId="0" applyNumberFormat="1" applyFont="1" applyFill="1" applyBorder="1" applyAlignment="1">
      <alignment horizontal="right"/>
    </xf>
    <xf numFmtId="0" fontId="3" fillId="0" borderId="12" xfId="0" applyNumberFormat="1" applyFont="1" applyBorder="1" applyAlignment="1">
      <alignment horizontal="left"/>
    </xf>
    <xf numFmtId="0" fontId="0" fillId="0" borderId="8" xfId="0" applyBorder="1"/>
    <xf numFmtId="165" fontId="2" fillId="0" borderId="8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3" borderId="10" xfId="0" applyNumberFormat="1" applyFont="1" applyFill="1" applyBorder="1" applyAlignment="1">
      <alignment horizontal="right"/>
    </xf>
    <xf numFmtId="165" fontId="2" fillId="3" borderId="13" xfId="0" applyNumberFormat="1" applyFont="1" applyFill="1" applyBorder="1" applyAlignment="1">
      <alignment horizontal="right"/>
    </xf>
    <xf numFmtId="0" fontId="49" fillId="4" borderId="31" xfId="0" applyFont="1" applyFill="1" applyBorder="1" applyAlignment="1">
      <alignment horizontal="center" vertical="center"/>
    </xf>
    <xf numFmtId="0" fontId="49" fillId="0" borderId="41" xfId="0" applyFont="1" applyFill="1" applyBorder="1" applyAlignment="1">
      <alignment vertical="center"/>
    </xf>
    <xf numFmtId="0" fontId="49" fillId="5" borderId="31" xfId="0" applyFont="1" applyFill="1" applyBorder="1" applyAlignment="1">
      <alignment vertical="center"/>
    </xf>
    <xf numFmtId="0" fontId="49" fillId="0" borderId="39" xfId="0" applyFont="1" applyFill="1" applyBorder="1" applyAlignment="1">
      <alignment vertical="center"/>
    </xf>
    <xf numFmtId="4" fontId="49" fillId="5" borderId="31" xfId="0" applyNumberFormat="1" applyFont="1" applyFill="1" applyBorder="1" applyAlignment="1">
      <alignment horizontal="right" vertical="center"/>
    </xf>
    <xf numFmtId="0" fontId="49" fillId="4" borderId="31" xfId="0" applyFont="1" applyFill="1" applyBorder="1" applyAlignment="1">
      <alignment vertical="center"/>
    </xf>
    <xf numFmtId="0" fontId="52" fillId="0" borderId="31" xfId="0" applyFont="1" applyFill="1" applyBorder="1" applyAlignment="1">
      <alignment horizontal="justify" vertical="center"/>
    </xf>
    <xf numFmtId="4" fontId="49" fillId="0" borderId="39" xfId="0" applyNumberFormat="1" applyFont="1" applyFill="1" applyBorder="1" applyAlignment="1">
      <alignment horizontal="right" vertical="center"/>
    </xf>
    <xf numFmtId="4" fontId="49" fillId="0" borderId="41" xfId="0" applyNumberFormat="1" applyFont="1" applyFill="1" applyBorder="1" applyAlignment="1">
      <alignment horizontal="right" vertical="center"/>
    </xf>
    <xf numFmtId="0" fontId="50" fillId="0" borderId="39" xfId="0" applyFont="1" applyFill="1" applyBorder="1" applyAlignment="1">
      <alignment vertical="center" wrapText="1"/>
    </xf>
    <xf numFmtId="0" fontId="50" fillId="0" borderId="41" xfId="0" applyFont="1" applyFill="1" applyBorder="1" applyAlignment="1">
      <alignment vertical="center" wrapText="1"/>
    </xf>
    <xf numFmtId="0" fontId="49" fillId="0" borderId="41" xfId="0" applyFont="1" applyFill="1" applyBorder="1" applyAlignment="1">
      <alignment vertical="center" wrapText="1"/>
    </xf>
    <xf numFmtId="0" fontId="49" fillId="0" borderId="36" xfId="0" applyFont="1" applyFill="1" applyBorder="1" applyAlignment="1">
      <alignment vertical="center" wrapText="1"/>
    </xf>
    <xf numFmtId="0" fontId="50" fillId="0" borderId="31" xfId="0" applyFont="1" applyFill="1" applyBorder="1" applyAlignment="1">
      <alignment vertical="center" wrapText="1"/>
    </xf>
    <xf numFmtId="0" fontId="50" fillId="0" borderId="36" xfId="0" applyFont="1" applyFill="1" applyBorder="1" applyAlignment="1">
      <alignment vertical="center" wrapText="1"/>
    </xf>
    <xf numFmtId="0" fontId="49" fillId="5" borderId="31" xfId="0" applyFont="1" applyFill="1" applyBorder="1" applyAlignment="1">
      <alignment vertical="center" wrapText="1"/>
    </xf>
    <xf numFmtId="49" fontId="2" fillId="0" borderId="0" xfId="0" applyNumberFormat="1" applyFont="1" applyAlignment="1">
      <alignment horizontal="right"/>
    </xf>
    <xf numFmtId="167" fontId="2" fillId="6" borderId="20" xfId="0" applyNumberFormat="1" applyFont="1" applyFill="1" applyBorder="1" applyAlignment="1">
      <alignment horizontal="right"/>
    </xf>
    <xf numFmtId="167" fontId="2" fillId="6" borderId="4" xfId="0" applyNumberFormat="1" applyFont="1" applyFill="1" applyBorder="1" applyAlignment="1">
      <alignment horizontal="right"/>
    </xf>
    <xf numFmtId="167" fontId="2" fillId="6" borderId="24" xfId="0" applyNumberFormat="1" applyFont="1" applyFill="1" applyBorder="1" applyAlignment="1">
      <alignment horizontal="right"/>
    </xf>
    <xf numFmtId="167" fontId="2" fillId="6" borderId="25" xfId="0" applyNumberFormat="1" applyFont="1" applyFill="1" applyBorder="1" applyAlignment="1">
      <alignment horizontal="right"/>
    </xf>
    <xf numFmtId="0" fontId="2" fillId="6" borderId="23" xfId="0" applyNumberFormat="1" applyFont="1" applyFill="1" applyBorder="1" applyAlignment="1">
      <alignment horizontal="left"/>
    </xf>
    <xf numFmtId="167" fontId="2" fillId="3" borderId="20" xfId="0" applyNumberFormat="1" applyFont="1" applyFill="1" applyBorder="1" applyAlignment="1">
      <alignment horizontal="right"/>
    </xf>
    <xf numFmtId="167" fontId="2" fillId="3" borderId="4" xfId="0" applyNumberFormat="1" applyFont="1" applyFill="1" applyBorder="1" applyAlignment="1">
      <alignment horizontal="right"/>
    </xf>
    <xf numFmtId="0" fontId="2" fillId="0" borderId="26" xfId="0" applyNumberFormat="1" applyFont="1" applyBorder="1" applyAlignment="1">
      <alignment horizontal="left"/>
    </xf>
    <xf numFmtId="167" fontId="2" fillId="6" borderId="21" xfId="0" applyNumberFormat="1" applyFont="1" applyFill="1" applyBorder="1" applyAlignment="1">
      <alignment horizontal="right"/>
    </xf>
    <xf numFmtId="167" fontId="2" fillId="6" borderId="5" xfId="0" applyNumberFormat="1" applyFont="1" applyFill="1" applyBorder="1" applyAlignment="1">
      <alignment horizontal="right"/>
    </xf>
    <xf numFmtId="0" fontId="50" fillId="0" borderId="0" xfId="0" applyFont="1" applyFill="1"/>
    <xf numFmtId="0" fontId="3" fillId="0" borderId="19" xfId="0" applyFont="1" applyBorder="1"/>
    <xf numFmtId="3" fontId="2" fillId="0" borderId="19" xfId="0" applyNumberFormat="1" applyFont="1" applyBorder="1" applyAlignment="1">
      <alignment horizontal="center"/>
    </xf>
    <xf numFmtId="3" fontId="2" fillId="0" borderId="19" xfId="0" applyNumberFormat="1" applyFont="1" applyBorder="1"/>
    <xf numFmtId="43" fontId="2" fillId="0" borderId="19" xfId="1" applyNumberFormat="1" applyFont="1" applyBorder="1" applyAlignment="1">
      <alignment horizontal="center"/>
    </xf>
    <xf numFmtId="43" fontId="3" fillId="0" borderId="1" xfId="1" applyNumberFormat="1" applyFont="1" applyBorder="1" applyAlignment="1">
      <alignment horizontal="center"/>
    </xf>
    <xf numFmtId="43" fontId="3" fillId="0" borderId="10" xfId="1" applyNumberFormat="1" applyFont="1" applyBorder="1"/>
    <xf numFmtId="43" fontId="2" fillId="0" borderId="10" xfId="1" applyNumberFormat="1" applyFont="1" applyBorder="1"/>
    <xf numFmtId="43" fontId="2" fillId="0" borderId="19" xfId="1" applyNumberFormat="1" applyFont="1" applyBorder="1"/>
    <xf numFmtId="4" fontId="2" fillId="0" borderId="19" xfId="0" applyNumberFormat="1" applyFont="1" applyBorder="1"/>
    <xf numFmtId="43" fontId="3" fillId="0" borderId="0" xfId="1" applyNumberFormat="1" applyFont="1"/>
    <xf numFmtId="43" fontId="3" fillId="0" borderId="1" xfId="1" applyNumberFormat="1" applyFont="1" applyBorder="1"/>
    <xf numFmtId="43" fontId="2" fillId="0" borderId="0" xfId="0" applyNumberFormat="1" applyFont="1"/>
    <xf numFmtId="164" fontId="2" fillId="0" borderId="0" xfId="1" applyNumberFormat="1" applyFont="1"/>
    <xf numFmtId="43" fontId="2" fillId="0" borderId="10" xfId="0" applyNumberFormat="1" applyFont="1" applyBorder="1"/>
    <xf numFmtId="10" fontId="2" fillId="0" borderId="19" xfId="2" applyNumberFormat="1" applyFont="1" applyBorder="1" applyAlignment="1">
      <alignment horizontal="center"/>
    </xf>
    <xf numFmtId="10" fontId="3" fillId="0" borderId="1" xfId="2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2" xfId="0" applyNumberFormat="1" applyFont="1" applyFill="1" applyBorder="1" applyAlignment="1">
      <alignment horizontal="center"/>
    </xf>
    <xf numFmtId="0" fontId="2" fillId="3" borderId="20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0" borderId="27" xfId="0" applyNumberFormat="1" applyFont="1" applyBorder="1" applyAlignment="1">
      <alignment horizontal="left"/>
    </xf>
    <xf numFmtId="0" fontId="2" fillId="0" borderId="28" xfId="0" applyNumberFormat="1" applyFont="1" applyBorder="1" applyAlignment="1">
      <alignment horizontal="left"/>
    </xf>
    <xf numFmtId="165" fontId="2" fillId="0" borderId="28" xfId="0" applyNumberFormat="1" applyFont="1" applyBorder="1" applyAlignment="1">
      <alignment horizontal="right"/>
    </xf>
    <xf numFmtId="165" fontId="2" fillId="0" borderId="29" xfId="0" applyNumberFormat="1" applyFont="1" applyBorder="1" applyAlignment="1">
      <alignment horizontal="right"/>
    </xf>
    <xf numFmtId="0" fontId="42" fillId="0" borderId="26" xfId="0" applyNumberFormat="1" applyFont="1" applyBorder="1" applyAlignment="1">
      <alignment horizontal="left" wrapText="1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24" xfId="0" applyNumberFormat="1" applyFont="1" applyFill="1" applyBorder="1" applyAlignment="1">
      <alignment horizontal="center"/>
    </xf>
    <xf numFmtId="0" fontId="2" fillId="3" borderId="25" xfId="0" applyNumberFormat="1" applyFont="1" applyFill="1" applyBorder="1" applyAlignment="1">
      <alignment horizontal="center"/>
    </xf>
    <xf numFmtId="0" fontId="2" fillId="0" borderId="26" xfId="0" applyNumberFormat="1" applyFont="1" applyBorder="1" applyAlignment="1">
      <alignment horizontal="left"/>
    </xf>
    <xf numFmtId="0" fontId="2" fillId="0" borderId="22" xfId="0" applyNumberFormat="1" applyFont="1" applyBorder="1" applyAlignment="1">
      <alignment horizontal="left"/>
    </xf>
    <xf numFmtId="0" fontId="2" fillId="0" borderId="20" xfId="0" applyNumberFormat="1" applyFont="1" applyBorder="1" applyAlignment="1">
      <alignment horizontal="left"/>
    </xf>
    <xf numFmtId="166" fontId="2" fillId="0" borderId="4" xfId="0" applyNumberFormat="1" applyFont="1" applyBorder="1" applyAlignment="1">
      <alignment horizontal="right"/>
    </xf>
    <xf numFmtId="0" fontId="0" fillId="0" borderId="26" xfId="0" applyBorder="1" applyAlignment="1">
      <alignment horizontal="right"/>
    </xf>
    <xf numFmtId="0" fontId="2" fillId="0" borderId="23" xfId="0" applyNumberFormat="1" applyFont="1" applyBorder="1" applyAlignment="1">
      <alignment horizontal="left"/>
    </xf>
    <xf numFmtId="0" fontId="2" fillId="0" borderId="24" xfId="0" applyNumberFormat="1" applyFont="1" applyBorder="1" applyAlignment="1">
      <alignment horizontal="left"/>
    </xf>
    <xf numFmtId="165" fontId="2" fillId="0" borderId="24" xfId="0" applyNumberFormat="1" applyFont="1" applyBorder="1" applyAlignment="1">
      <alignment horizontal="right"/>
    </xf>
    <xf numFmtId="165" fontId="2" fillId="0" borderId="25" xfId="0" applyNumberFormat="1" applyFont="1" applyBorder="1" applyAlignment="1">
      <alignment horizontal="right"/>
    </xf>
    <xf numFmtId="0" fontId="2" fillId="3" borderId="26" xfId="0" applyNumberFormat="1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28" xfId="0" applyNumberFormat="1" applyFont="1" applyFill="1" applyBorder="1" applyAlignment="1">
      <alignment horizontal="center"/>
    </xf>
    <xf numFmtId="0" fontId="2" fillId="3" borderId="29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0" fontId="2" fillId="3" borderId="23" xfId="0" applyNumberFormat="1" applyFont="1" applyFill="1" applyBorder="1" applyAlignment="1">
      <alignment horizontal="center"/>
    </xf>
    <xf numFmtId="165" fontId="2" fillId="0" borderId="2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left"/>
    </xf>
    <xf numFmtId="0" fontId="2" fillId="3" borderId="0" xfId="0" applyNumberFormat="1" applyFont="1" applyFill="1" applyAlignment="1">
      <alignment horizontal="center"/>
    </xf>
    <xf numFmtId="0" fontId="2" fillId="3" borderId="21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26" xfId="0" applyNumberFormat="1" applyFont="1" applyFill="1" applyBorder="1" applyAlignment="1">
      <alignment horizontal="center"/>
    </xf>
    <xf numFmtId="0" fontId="0" fillId="0" borderId="20" xfId="0" applyBorder="1" applyAlignment="1"/>
    <xf numFmtId="0" fontId="0" fillId="0" borderId="4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2" fillId="3" borderId="20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24" xfId="0" applyNumberFormat="1" applyFont="1" applyFill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42" fillId="0" borderId="0" xfId="0" applyNumberFormat="1" applyFont="1" applyAlignment="1">
      <alignment horizontal="left"/>
    </xf>
    <xf numFmtId="0" fontId="43" fillId="0" borderId="0" xfId="0" applyNumberFormat="1" applyFont="1" applyAlignment="1">
      <alignment horizontal="left"/>
    </xf>
    <xf numFmtId="0" fontId="42" fillId="0" borderId="0" xfId="0" applyNumberFormat="1" applyFont="1" applyAlignment="1">
      <alignment horizontal="right"/>
    </xf>
    <xf numFmtId="0" fontId="50" fillId="0" borderId="40" xfId="0" applyFont="1" applyFill="1" applyBorder="1"/>
    <xf numFmtId="0" fontId="50" fillId="0" borderId="0" xfId="0" applyFont="1" applyFill="1"/>
    <xf numFmtId="4" fontId="50" fillId="0" borderId="41" xfId="0" applyNumberFormat="1" applyFont="1" applyFill="1" applyBorder="1" applyAlignment="1">
      <alignment horizontal="right" vertical="center"/>
    </xf>
    <xf numFmtId="4" fontId="50" fillId="0" borderId="42" xfId="0" applyNumberFormat="1" applyFont="1" applyFill="1" applyBorder="1" applyAlignment="1">
      <alignment horizontal="right" vertical="center"/>
    </xf>
    <xf numFmtId="0" fontId="50" fillId="0" borderId="41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right" vertical="center"/>
    </xf>
    <xf numFmtId="0" fontId="50" fillId="0" borderId="42" xfId="0" applyFont="1" applyFill="1" applyBorder="1" applyAlignment="1">
      <alignment horizontal="right" vertical="center"/>
    </xf>
    <xf numFmtId="4" fontId="50" fillId="0" borderId="36" xfId="0" applyNumberFormat="1" applyFont="1" applyFill="1" applyBorder="1" applyAlignment="1">
      <alignment horizontal="right" vertical="center"/>
    </xf>
    <xf numFmtId="4" fontId="50" fillId="0" borderId="38" xfId="0" applyNumberFormat="1" applyFont="1" applyFill="1" applyBorder="1" applyAlignment="1">
      <alignment horizontal="right" vertical="center"/>
    </xf>
    <xf numFmtId="0" fontId="50" fillId="0" borderId="36" xfId="0" applyFont="1" applyFill="1" applyBorder="1" applyAlignment="1">
      <alignment horizontal="right" vertical="center"/>
    </xf>
    <xf numFmtId="0" fontId="50" fillId="0" borderId="30" xfId="0" applyFont="1" applyFill="1" applyBorder="1" applyAlignment="1">
      <alignment horizontal="right" vertical="center"/>
    </xf>
    <xf numFmtId="0" fontId="50" fillId="0" borderId="38" xfId="0" applyFont="1" applyFill="1" applyBorder="1" applyAlignment="1">
      <alignment horizontal="right" vertical="center"/>
    </xf>
    <xf numFmtId="0" fontId="49" fillId="4" borderId="31" xfId="0" applyFont="1" applyFill="1" applyBorder="1" applyAlignment="1">
      <alignment horizontal="center" vertical="center" wrapText="1"/>
    </xf>
    <xf numFmtId="0" fontId="49" fillId="4" borderId="36" xfId="0" applyFont="1" applyFill="1" applyBorder="1" applyAlignment="1">
      <alignment horizontal="center" vertical="center" wrapText="1"/>
    </xf>
    <xf numFmtId="0" fontId="49" fillId="4" borderId="32" xfId="0" applyFont="1" applyFill="1" applyBorder="1" applyAlignment="1">
      <alignment horizontal="center" vertical="center" wrapText="1"/>
    </xf>
    <xf numFmtId="0" fontId="49" fillId="4" borderId="37" xfId="0" applyFont="1" applyFill="1" applyBorder="1" applyAlignment="1">
      <alignment horizontal="center" vertical="center" wrapText="1"/>
    </xf>
    <xf numFmtId="0" fontId="49" fillId="4" borderId="38" xfId="0" applyFont="1" applyFill="1" applyBorder="1" applyAlignment="1">
      <alignment horizontal="center" vertical="center" wrapText="1"/>
    </xf>
    <xf numFmtId="0" fontId="49" fillId="4" borderId="33" xfId="0" applyFont="1" applyFill="1" applyBorder="1" applyAlignment="1">
      <alignment horizontal="center" vertical="center" wrapText="1"/>
    </xf>
    <xf numFmtId="0" fontId="49" fillId="4" borderId="34" xfId="0" applyFont="1" applyFill="1" applyBorder="1" applyAlignment="1">
      <alignment horizontal="center" vertical="center" wrapText="1"/>
    </xf>
    <xf numFmtId="4" fontId="50" fillId="0" borderId="39" xfId="0" applyNumberFormat="1" applyFont="1" applyFill="1" applyBorder="1" applyAlignment="1">
      <alignment horizontal="right" vertical="center"/>
    </xf>
    <xf numFmtId="4" fontId="50" fillId="0" borderId="32" xfId="0" applyNumberFormat="1" applyFont="1" applyFill="1" applyBorder="1" applyAlignment="1">
      <alignment horizontal="right" vertical="center"/>
    </xf>
    <xf numFmtId="0" fontId="50" fillId="0" borderId="39" xfId="0" applyFont="1" applyFill="1" applyBorder="1" applyAlignment="1">
      <alignment horizontal="right" vertical="center"/>
    </xf>
    <xf numFmtId="0" fontId="50" fillId="0" borderId="40" xfId="0" applyFont="1" applyFill="1" applyBorder="1" applyAlignment="1">
      <alignment horizontal="right" vertical="center"/>
    </xf>
    <xf numFmtId="0" fontId="50" fillId="0" borderId="32" xfId="0" applyFont="1" applyFill="1" applyBorder="1" applyAlignment="1">
      <alignment horizontal="right" vertical="center"/>
    </xf>
    <xf numFmtId="0" fontId="48" fillId="4" borderId="31" xfId="0" applyFont="1" applyFill="1" applyBorder="1" applyAlignment="1">
      <alignment horizontal="center" vertical="center"/>
    </xf>
    <xf numFmtId="0" fontId="48" fillId="4" borderId="36" xfId="0" applyFont="1" applyFill="1" applyBorder="1" applyAlignment="1">
      <alignment horizontal="center" vertical="center"/>
    </xf>
    <xf numFmtId="0" fontId="49" fillId="4" borderId="31" xfId="0" applyFont="1" applyFill="1" applyBorder="1" applyAlignment="1">
      <alignment horizontal="center" vertical="center"/>
    </xf>
    <xf numFmtId="0" fontId="49" fillId="4" borderId="33" xfId="0" applyFont="1" applyFill="1" applyBorder="1" applyAlignment="1">
      <alignment horizontal="center" vertical="center"/>
    </xf>
    <xf numFmtId="0" fontId="49" fillId="4" borderId="34" xfId="0" applyFont="1" applyFill="1" applyBorder="1" applyAlignment="1">
      <alignment horizontal="center" vertical="center"/>
    </xf>
    <xf numFmtId="0" fontId="45" fillId="0" borderId="35" xfId="0" applyFont="1" applyFill="1" applyBorder="1" applyAlignment="1">
      <alignment vertical="top"/>
    </xf>
    <xf numFmtId="0" fontId="45" fillId="0" borderId="0" xfId="0" applyFont="1" applyFill="1" applyAlignment="1">
      <alignment vertical="top"/>
    </xf>
    <xf numFmtId="0" fontId="45" fillId="0" borderId="30" xfId="0" applyFont="1" applyFill="1" applyBorder="1" applyAlignment="1">
      <alignment vertical="top"/>
    </xf>
    <xf numFmtId="0" fontId="46" fillId="0" borderId="0" xfId="0" applyFont="1" applyFill="1" applyAlignment="1">
      <alignment horizontal="right" vertical="top" wrapText="1"/>
    </xf>
    <xf numFmtId="0" fontId="45" fillId="0" borderId="40" xfId="0" applyFont="1" applyFill="1" applyBorder="1" applyAlignment="1">
      <alignment vertical="top"/>
    </xf>
    <xf numFmtId="0" fontId="47" fillId="0" borderId="0" xfId="0" applyFont="1" applyFill="1" applyAlignment="1">
      <alignment vertical="top"/>
    </xf>
    <xf numFmtId="4" fontId="50" fillId="5" borderId="31" xfId="0" applyNumberFormat="1" applyFont="1" applyFill="1" applyBorder="1" applyAlignment="1">
      <alignment horizontal="right" vertical="center"/>
    </xf>
    <xf numFmtId="4" fontId="50" fillId="5" borderId="34" xfId="0" applyNumberFormat="1" applyFont="1" applyFill="1" applyBorder="1" applyAlignment="1">
      <alignment horizontal="right" vertical="center"/>
    </xf>
    <xf numFmtId="4" fontId="50" fillId="5" borderId="33" xfId="0" applyNumberFormat="1" applyFont="1" applyFill="1" applyBorder="1" applyAlignment="1">
      <alignment horizontal="right" vertical="center"/>
    </xf>
    <xf numFmtId="4" fontId="50" fillId="0" borderId="31" xfId="0" applyNumberFormat="1" applyFont="1" applyFill="1" applyBorder="1" applyAlignment="1">
      <alignment horizontal="right" vertical="center"/>
    </xf>
    <xf numFmtId="4" fontId="50" fillId="0" borderId="34" xfId="0" applyNumberFormat="1" applyFont="1" applyFill="1" applyBorder="1" applyAlignment="1">
      <alignment horizontal="right" vertical="center"/>
    </xf>
    <xf numFmtId="4" fontId="50" fillId="0" borderId="33" xfId="0" applyNumberFormat="1" applyFont="1" applyFill="1" applyBorder="1" applyAlignment="1">
      <alignment horizontal="right" vertical="center"/>
    </xf>
    <xf numFmtId="4" fontId="50" fillId="0" borderId="0" xfId="0" applyNumberFormat="1" applyFont="1" applyFill="1" applyAlignment="1">
      <alignment horizontal="right" vertical="center"/>
    </xf>
    <xf numFmtId="4" fontId="50" fillId="0" borderId="30" xfId="0" applyNumberFormat="1" applyFont="1" applyFill="1" applyBorder="1" applyAlignment="1">
      <alignment horizontal="right" vertical="center"/>
    </xf>
    <xf numFmtId="4" fontId="50" fillId="0" borderId="40" xfId="0" applyNumberFormat="1" applyFont="1" applyFill="1" applyBorder="1" applyAlignment="1">
      <alignment horizontal="right" vertical="center"/>
    </xf>
    <xf numFmtId="0" fontId="50" fillId="0" borderId="31" xfId="0" applyFont="1" applyFill="1" applyBorder="1" applyAlignment="1">
      <alignment horizontal="right" vertical="center"/>
    </xf>
    <xf numFmtId="0" fontId="50" fillId="0" borderId="33" xfId="0" applyFont="1" applyFill="1" applyBorder="1" applyAlignment="1">
      <alignment horizontal="right" vertical="center"/>
    </xf>
    <xf numFmtId="0" fontId="50" fillId="0" borderId="34" xfId="0" applyFont="1" applyFill="1" applyBorder="1" applyAlignment="1">
      <alignment horizontal="right" vertical="center"/>
    </xf>
    <xf numFmtId="0" fontId="50" fillId="5" borderId="31" xfId="0" applyFont="1" applyFill="1" applyBorder="1" applyAlignment="1">
      <alignment horizontal="right" vertical="center"/>
    </xf>
    <xf numFmtId="0" fontId="50" fillId="5" borderId="33" xfId="0" applyFont="1" applyFill="1" applyBorder="1" applyAlignment="1">
      <alignment horizontal="right" vertical="center"/>
    </xf>
    <xf numFmtId="0" fontId="50" fillId="5" borderId="34" xfId="0" applyFont="1" applyFill="1" applyBorder="1" applyAlignment="1">
      <alignment horizontal="right" vertical="center"/>
    </xf>
    <xf numFmtId="0" fontId="2" fillId="0" borderId="14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0" fontId="2" fillId="3" borderId="14" xfId="0" applyNumberFormat="1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42" fillId="0" borderId="0" xfId="0" applyNumberFormat="1" applyFont="1" applyAlignment="1">
      <alignment horizontal="left" wrapText="1"/>
    </xf>
    <xf numFmtId="0" fontId="3" fillId="3" borderId="12" xfId="0" applyNumberFormat="1" applyFont="1" applyFill="1" applyBorder="1" applyAlignment="1">
      <alignment horizontal="left"/>
    </xf>
    <xf numFmtId="0" fontId="3" fillId="3" borderId="8" xfId="0" applyNumberFormat="1" applyFont="1" applyFill="1" applyBorder="1" applyAlignment="1">
      <alignment horizontal="left"/>
    </xf>
    <xf numFmtId="0" fontId="2" fillId="3" borderId="12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0" fontId="2" fillId="3" borderId="14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2" fillId="3" borderId="16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/>
    </xf>
    <xf numFmtId="4" fontId="49" fillId="5" borderId="31" xfId="0" applyNumberFormat="1" applyFont="1" applyFill="1" applyBorder="1" applyAlignment="1">
      <alignment horizontal="right" vertical="center"/>
    </xf>
    <xf numFmtId="4" fontId="49" fillId="5" borderId="34" xfId="0" applyNumberFormat="1" applyFont="1" applyFill="1" applyBorder="1" applyAlignment="1">
      <alignment horizontal="right" vertical="center"/>
    </xf>
    <xf numFmtId="4" fontId="49" fillId="5" borderId="33" xfId="0" applyNumberFormat="1" applyFont="1" applyFill="1" applyBorder="1" applyAlignment="1">
      <alignment horizontal="right" vertical="center"/>
    </xf>
    <xf numFmtId="0" fontId="50" fillId="0" borderId="40" xfId="0" applyFont="1" applyFill="1" applyBorder="1" applyAlignment="1">
      <alignment vertical="center"/>
    </xf>
    <xf numFmtId="0" fontId="50" fillId="0" borderId="0" xfId="0" applyFont="1" applyFill="1" applyAlignment="1">
      <alignment vertical="top" wrapText="1"/>
    </xf>
    <xf numFmtId="0" fontId="46" fillId="0" borderId="30" xfId="0" applyFont="1" applyFill="1" applyBorder="1" applyAlignment="1">
      <alignment horizontal="right" vertical="top" wrapText="1"/>
    </xf>
    <xf numFmtId="4" fontId="49" fillId="0" borderId="41" xfId="0" applyNumberFormat="1" applyFont="1" applyFill="1" applyBorder="1" applyAlignment="1">
      <alignment horizontal="right" vertical="center"/>
    </xf>
    <xf numFmtId="4" fontId="49" fillId="0" borderId="42" xfId="0" applyNumberFormat="1" applyFont="1" applyFill="1" applyBorder="1" applyAlignment="1">
      <alignment horizontal="right" vertical="center"/>
    </xf>
    <xf numFmtId="4" fontId="49" fillId="0" borderId="0" xfId="0" applyNumberFormat="1" applyFont="1" applyFill="1" applyAlignment="1">
      <alignment horizontal="right" vertical="center"/>
    </xf>
    <xf numFmtId="4" fontId="49" fillId="0" borderId="39" xfId="0" applyNumberFormat="1" applyFont="1" applyFill="1" applyBorder="1" applyAlignment="1">
      <alignment horizontal="right" vertical="center"/>
    </xf>
    <xf numFmtId="4" fontId="49" fillId="0" borderId="32" xfId="0" applyNumberFormat="1" applyFont="1" applyFill="1" applyBorder="1" applyAlignment="1">
      <alignment horizontal="right" vertical="center"/>
    </xf>
    <xf numFmtId="4" fontId="49" fillId="0" borderId="40" xfId="0" applyNumberFormat="1" applyFont="1" applyFill="1" applyBorder="1" applyAlignment="1">
      <alignment horizontal="right" vertical="center"/>
    </xf>
    <xf numFmtId="0" fontId="45" fillId="0" borderId="33" xfId="0" applyFont="1" applyFill="1" applyBorder="1" applyAlignment="1">
      <alignment vertical="top"/>
    </xf>
    <xf numFmtId="4" fontId="52" fillId="0" borderId="31" xfId="0" applyNumberFormat="1" applyFont="1" applyFill="1" applyBorder="1" applyAlignment="1">
      <alignment horizontal="right" vertical="center"/>
    </xf>
    <xf numFmtId="4" fontId="52" fillId="0" borderId="33" xfId="0" applyNumberFormat="1" applyFont="1" applyFill="1" applyBorder="1" applyAlignment="1">
      <alignment horizontal="right" vertical="center"/>
    </xf>
    <xf numFmtId="4" fontId="52" fillId="0" borderId="34" xfId="0" applyNumberFormat="1" applyFont="1" applyFill="1" applyBorder="1" applyAlignment="1">
      <alignment horizontal="right" vertical="center"/>
    </xf>
    <xf numFmtId="0" fontId="49" fillId="5" borderId="31" xfId="0" applyFont="1" applyFill="1" applyBorder="1" applyAlignment="1">
      <alignment horizontal="right" vertical="center"/>
    </xf>
    <xf numFmtId="0" fontId="49" fillId="5" borderId="33" xfId="0" applyFont="1" applyFill="1" applyBorder="1" applyAlignment="1">
      <alignment horizontal="right" vertical="center"/>
    </xf>
    <xf numFmtId="0" fontId="49" fillId="5" borderId="34" xfId="0" applyFont="1" applyFill="1" applyBorder="1" applyAlignment="1">
      <alignment horizontal="right" vertical="center"/>
    </xf>
    <xf numFmtId="0" fontId="49" fillId="0" borderId="41" xfId="0" applyFont="1" applyFill="1" applyBorder="1" applyAlignment="1">
      <alignment horizontal="right" vertical="center"/>
    </xf>
    <xf numFmtId="0" fontId="49" fillId="0" borderId="0" xfId="0" applyFont="1" applyFill="1" applyAlignment="1">
      <alignment horizontal="right" vertical="center"/>
    </xf>
    <xf numFmtId="0" fontId="49" fillId="0" borderId="42" xfId="0" applyFont="1" applyFill="1" applyBorder="1" applyAlignment="1">
      <alignment horizontal="right" vertical="center"/>
    </xf>
    <xf numFmtId="0" fontId="49" fillId="0" borderId="39" xfId="0" applyFont="1" applyFill="1" applyBorder="1" applyAlignment="1">
      <alignment horizontal="right" vertical="center"/>
    </xf>
    <xf numFmtId="0" fontId="49" fillId="0" borderId="40" xfId="0" applyFont="1" applyFill="1" applyBorder="1" applyAlignment="1">
      <alignment horizontal="right" vertical="center"/>
    </xf>
    <xf numFmtId="0" fontId="49" fillId="0" borderId="32" xfId="0" applyFont="1" applyFill="1" applyBorder="1" applyAlignment="1">
      <alignment horizontal="right" vertical="center"/>
    </xf>
    <xf numFmtId="0" fontId="50" fillId="0" borderId="41" xfId="0" applyFont="1" applyFill="1" applyBorder="1" applyAlignment="1">
      <alignment vertical="center"/>
    </xf>
    <xf numFmtId="0" fontId="50" fillId="0" borderId="0" xfId="0" applyFont="1" applyFill="1" applyAlignment="1">
      <alignment vertical="center"/>
    </xf>
    <xf numFmtId="0" fontId="50" fillId="0" borderId="42" xfId="0" applyFont="1" applyFill="1" applyBorder="1" applyAlignment="1">
      <alignment vertical="center"/>
    </xf>
    <xf numFmtId="0" fontId="50" fillId="0" borderId="36" xfId="0" applyFont="1" applyFill="1" applyBorder="1" applyAlignment="1">
      <alignment vertical="center"/>
    </xf>
    <xf numFmtId="0" fontId="50" fillId="0" borderId="30" xfId="0" applyFont="1" applyFill="1" applyBorder="1" applyAlignment="1">
      <alignment vertical="center"/>
    </xf>
    <xf numFmtId="0" fontId="50" fillId="0" borderId="38" xfId="0" applyFont="1" applyFill="1" applyBorder="1" applyAlignment="1">
      <alignment vertical="center"/>
    </xf>
    <xf numFmtId="0" fontId="49" fillId="5" borderId="31" xfId="0" applyFont="1" applyFill="1" applyBorder="1" applyAlignment="1">
      <alignment vertical="center"/>
    </xf>
    <xf numFmtId="0" fontId="49" fillId="5" borderId="33" xfId="0" applyFont="1" applyFill="1" applyBorder="1" applyAlignment="1">
      <alignment vertical="center"/>
    </xf>
    <xf numFmtId="0" fontId="49" fillId="5" borderId="34" xfId="0" applyFont="1" applyFill="1" applyBorder="1" applyAlignment="1">
      <alignment vertical="center"/>
    </xf>
    <xf numFmtId="0" fontId="50" fillId="0" borderId="39" xfId="0" applyFont="1" applyFill="1" applyBorder="1" applyAlignment="1">
      <alignment vertical="center"/>
    </xf>
    <xf numFmtId="0" fontId="50" fillId="0" borderId="32" xfId="0" applyFont="1" applyFill="1" applyBorder="1" applyAlignment="1">
      <alignment vertical="center"/>
    </xf>
    <xf numFmtId="0" fontId="49" fillId="0" borderId="36" xfId="0" applyFont="1" applyFill="1" applyBorder="1" applyAlignment="1">
      <alignment horizontal="right" vertical="center"/>
    </xf>
    <xf numFmtId="0" fontId="49" fillId="0" borderId="30" xfId="0" applyFont="1" applyFill="1" applyBorder="1" applyAlignment="1">
      <alignment horizontal="right" vertical="center"/>
    </xf>
    <xf numFmtId="0" fontId="49" fillId="0" borderId="38" xfId="0" applyFont="1" applyFill="1" applyBorder="1" applyAlignment="1">
      <alignment horizontal="right" vertical="center"/>
    </xf>
    <xf numFmtId="0" fontId="50" fillId="8" borderId="31" xfId="0" applyFont="1" applyFill="1" applyBorder="1" applyAlignment="1">
      <alignment horizontal="right" vertical="center" wrapText="1"/>
    </xf>
    <xf numFmtId="0" fontId="50" fillId="8" borderId="33" xfId="0" applyFont="1" applyFill="1" applyBorder="1" applyAlignment="1">
      <alignment horizontal="right" vertical="center" wrapText="1"/>
    </xf>
    <xf numFmtId="0" fontId="50" fillId="8" borderId="34" xfId="0" applyFont="1" applyFill="1" applyBorder="1" applyAlignment="1">
      <alignment horizontal="right" vertical="center" wrapText="1"/>
    </xf>
    <xf numFmtId="0" fontId="50" fillId="0" borderId="0" xfId="0" applyFont="1" applyFill="1" applyAlignment="1">
      <alignment wrapText="1"/>
    </xf>
    <xf numFmtId="0" fontId="50" fillId="0" borderId="31" xfId="0" applyFont="1" applyFill="1" applyBorder="1" applyAlignment="1">
      <alignment horizontal="right" vertical="center" wrapText="1"/>
    </xf>
    <xf numFmtId="0" fontId="50" fillId="0" borderId="33" xfId="0" applyFont="1" applyFill="1" applyBorder="1" applyAlignment="1">
      <alignment horizontal="right" vertical="center" wrapText="1"/>
    </xf>
    <xf numFmtId="0" fontId="50" fillId="0" borderId="34" xfId="0" applyFont="1" applyFill="1" applyBorder="1" applyAlignment="1">
      <alignment horizontal="right" vertical="center" wrapText="1"/>
    </xf>
    <xf numFmtId="0" fontId="50" fillId="8" borderId="31" xfId="0" applyFont="1" applyFill="1" applyBorder="1" applyAlignment="1">
      <alignment vertical="center" wrapText="1"/>
    </xf>
    <xf numFmtId="0" fontId="50" fillId="8" borderId="33" xfId="0" applyFont="1" applyFill="1" applyBorder="1" applyAlignment="1">
      <alignment vertical="center" wrapText="1"/>
    </xf>
    <xf numFmtId="0" fontId="50" fillId="8" borderId="34" xfId="0" applyFont="1" applyFill="1" applyBorder="1" applyAlignment="1">
      <alignment vertical="center" wrapText="1"/>
    </xf>
    <xf numFmtId="0" fontId="50" fillId="8" borderId="31" xfId="0" applyFont="1" applyFill="1" applyBorder="1" applyAlignment="1">
      <alignment horizontal="right" vertical="center"/>
    </xf>
    <xf numFmtId="0" fontId="50" fillId="8" borderId="34" xfId="0" applyFont="1" applyFill="1" applyBorder="1" applyAlignment="1">
      <alignment horizontal="right" vertical="center"/>
    </xf>
    <xf numFmtId="0" fontId="50" fillId="8" borderId="33" xfId="0" applyFont="1" applyFill="1" applyBorder="1" applyAlignment="1">
      <alignment horizontal="right" vertical="center"/>
    </xf>
    <xf numFmtId="0" fontId="50" fillId="0" borderId="31" xfId="0" applyFont="1" applyFill="1" applyBorder="1" applyAlignment="1">
      <alignment vertical="center" wrapText="1"/>
    </xf>
    <xf numFmtId="0" fontId="50" fillId="0" borderId="33" xfId="0" applyFont="1" applyFill="1" applyBorder="1" applyAlignment="1">
      <alignment vertical="center" wrapText="1"/>
    </xf>
    <xf numFmtId="0" fontId="50" fillId="0" borderId="34" xfId="0" applyFont="1" applyFill="1" applyBorder="1" applyAlignment="1">
      <alignment vertical="center" wrapText="1"/>
    </xf>
    <xf numFmtId="0" fontId="50" fillId="0" borderId="36" xfId="0" applyFont="1" applyFill="1" applyBorder="1" applyAlignment="1">
      <alignment horizontal="right" vertical="center" wrapText="1"/>
    </xf>
    <xf numFmtId="0" fontId="50" fillId="0" borderId="38" xfId="0" applyFont="1" applyFill="1" applyBorder="1" applyAlignment="1">
      <alignment horizontal="right" vertical="center" wrapText="1"/>
    </xf>
    <xf numFmtId="0" fontId="50" fillId="0" borderId="41" xfId="0" applyFont="1" applyFill="1" applyBorder="1" applyAlignment="1">
      <alignment horizontal="right" vertical="center" wrapText="1"/>
    </xf>
    <xf numFmtId="0" fontId="50" fillId="0" borderId="0" xfId="0" applyFont="1" applyFill="1" applyAlignment="1">
      <alignment horizontal="right" vertical="center" wrapText="1"/>
    </xf>
    <xf numFmtId="0" fontId="50" fillId="0" borderId="42" xfId="0" applyFont="1" applyFill="1" applyBorder="1" applyAlignment="1">
      <alignment horizontal="right" vertical="center" wrapText="1"/>
    </xf>
    <xf numFmtId="0" fontId="50" fillId="0" borderId="36" xfId="0" applyFont="1" applyFill="1" applyBorder="1" applyAlignment="1">
      <alignment vertical="center" wrapText="1"/>
    </xf>
    <xf numFmtId="0" fontId="50" fillId="0" borderId="30" xfId="0" applyFont="1" applyFill="1" applyBorder="1" applyAlignment="1">
      <alignment vertical="center" wrapText="1"/>
    </xf>
    <xf numFmtId="0" fontId="50" fillId="0" borderId="38" xfId="0" applyFont="1" applyFill="1" applyBorder="1" applyAlignment="1">
      <alignment vertical="center" wrapText="1"/>
    </xf>
    <xf numFmtId="0" fontId="50" fillId="0" borderId="30" xfId="0" applyFont="1" applyFill="1" applyBorder="1" applyAlignment="1">
      <alignment horizontal="right" vertical="center" wrapText="1"/>
    </xf>
    <xf numFmtId="0" fontId="50" fillId="0" borderId="41" xfId="0" applyFont="1" applyFill="1" applyBorder="1" applyAlignment="1">
      <alignment vertical="center" wrapText="1"/>
    </xf>
    <xf numFmtId="0" fontId="50" fillId="0" borderId="0" xfId="0" applyFont="1" applyFill="1" applyAlignment="1">
      <alignment vertical="center" wrapText="1"/>
    </xf>
    <xf numFmtId="0" fontId="50" fillId="0" borderId="42" xfId="0" applyFont="1" applyFill="1" applyBorder="1" applyAlignment="1">
      <alignment vertical="center" wrapText="1"/>
    </xf>
    <xf numFmtId="0" fontId="50" fillId="0" borderId="39" xfId="0" applyFont="1" applyFill="1" applyBorder="1" applyAlignment="1">
      <alignment horizontal="right" vertical="center" wrapText="1"/>
    </xf>
    <xf numFmtId="0" fontId="50" fillId="0" borderId="40" xfId="0" applyFont="1" applyFill="1" applyBorder="1" applyAlignment="1">
      <alignment horizontal="right" vertical="center" wrapText="1"/>
    </xf>
    <xf numFmtId="0" fontId="50" fillId="0" borderId="32" xfId="0" applyFont="1" applyFill="1" applyBorder="1" applyAlignment="1">
      <alignment horizontal="right" vertical="center" wrapText="1"/>
    </xf>
    <xf numFmtId="0" fontId="50" fillId="0" borderId="39" xfId="0" applyFont="1" applyFill="1" applyBorder="1" applyAlignment="1">
      <alignment vertical="center" wrapText="1"/>
    </xf>
    <xf numFmtId="0" fontId="50" fillId="0" borderId="40" xfId="0" applyFont="1" applyFill="1" applyBorder="1" applyAlignment="1">
      <alignment vertical="center" wrapText="1"/>
    </xf>
    <xf numFmtId="0" fontId="50" fillId="0" borderId="32" xfId="0" applyFont="1" applyFill="1" applyBorder="1" applyAlignment="1">
      <alignment vertical="center" wrapText="1"/>
    </xf>
    <xf numFmtId="0" fontId="48" fillId="4" borderId="31" xfId="0" applyFont="1" applyFill="1" applyBorder="1" applyAlignment="1">
      <alignment horizontal="center" vertical="center" wrapText="1"/>
    </xf>
    <xf numFmtId="0" fontId="48" fillId="4" borderId="40" xfId="0" applyFont="1" applyFill="1" applyBorder="1" applyAlignment="1">
      <alignment horizontal="center" vertical="center" wrapText="1"/>
    </xf>
    <xf numFmtId="0" fontId="48" fillId="4" borderId="32" xfId="0" applyFont="1" applyFill="1" applyBorder="1" applyAlignment="1">
      <alignment horizontal="center" vertical="center" wrapText="1"/>
    </xf>
    <xf numFmtId="0" fontId="48" fillId="4" borderId="37" xfId="0" applyFont="1" applyFill="1" applyBorder="1" applyAlignment="1">
      <alignment horizontal="center" vertical="center" wrapText="1"/>
    </xf>
    <xf numFmtId="0" fontId="48" fillId="4" borderId="30" xfId="0" applyFont="1" applyFill="1" applyBorder="1" applyAlignment="1">
      <alignment horizontal="center" vertical="center" wrapText="1"/>
    </xf>
    <xf numFmtId="0" fontId="48" fillId="4" borderId="38" xfId="0" applyFont="1" applyFill="1" applyBorder="1" applyAlignment="1">
      <alignment horizontal="center" vertical="center" wrapText="1"/>
    </xf>
    <xf numFmtId="0" fontId="49" fillId="4" borderId="40" xfId="0" applyFont="1" applyFill="1" applyBorder="1" applyAlignment="1">
      <alignment horizontal="center" vertical="center" wrapText="1"/>
    </xf>
    <xf numFmtId="0" fontId="49" fillId="4" borderId="30" xfId="0" applyFont="1" applyFill="1" applyBorder="1" applyAlignment="1">
      <alignment horizontal="center" vertical="center" wrapText="1"/>
    </xf>
    <xf numFmtId="0" fontId="50" fillId="8" borderId="31" xfId="0" applyFont="1" applyFill="1" applyBorder="1" applyAlignment="1">
      <alignment vertical="center"/>
    </xf>
    <xf numFmtId="0" fontId="50" fillId="8" borderId="33" xfId="0" applyFont="1" applyFill="1" applyBorder="1" applyAlignment="1">
      <alignment vertical="center"/>
    </xf>
    <xf numFmtId="0" fontId="50" fillId="8" borderId="34" xfId="0" applyFont="1" applyFill="1" applyBorder="1" applyAlignment="1">
      <alignment vertical="center"/>
    </xf>
    <xf numFmtId="0" fontId="48" fillId="4" borderId="40" xfId="0" applyFont="1" applyFill="1" applyBorder="1" applyAlignment="1">
      <alignment horizontal="center" vertical="center"/>
    </xf>
    <xf numFmtId="0" fontId="48" fillId="4" borderId="32" xfId="0" applyFont="1" applyFill="1" applyBorder="1" applyAlignment="1">
      <alignment horizontal="center" vertical="center"/>
    </xf>
    <xf numFmtId="0" fontId="48" fillId="4" borderId="37" xfId="0" applyFont="1" applyFill="1" applyBorder="1" applyAlignment="1">
      <alignment horizontal="center" vertical="center"/>
    </xf>
    <xf numFmtId="0" fontId="48" fillId="4" borderId="30" xfId="0" applyFont="1" applyFill="1" applyBorder="1" applyAlignment="1">
      <alignment horizontal="center" vertical="center"/>
    </xf>
    <xf numFmtId="0" fontId="48" fillId="4" borderId="38" xfId="0" applyFont="1" applyFill="1" applyBorder="1" applyAlignment="1">
      <alignment horizontal="center" vertical="center"/>
    </xf>
    <xf numFmtId="0" fontId="48" fillId="4" borderId="35" xfId="0" applyFont="1" applyFill="1" applyBorder="1" applyAlignment="1">
      <alignment horizontal="center" vertical="center" wrapText="1"/>
    </xf>
    <xf numFmtId="0" fontId="48" fillId="4" borderId="0" xfId="0" applyFont="1" applyFill="1" applyAlignment="1">
      <alignment horizontal="center" vertical="center" wrapText="1"/>
    </xf>
    <xf numFmtId="0" fontId="48" fillId="4" borderId="42" xfId="0" applyFont="1" applyFill="1" applyBorder="1" applyAlignment="1">
      <alignment horizontal="center" vertical="center" wrapText="1"/>
    </xf>
    <xf numFmtId="0" fontId="49" fillId="4" borderId="31" xfId="0" applyFont="1" applyFill="1" applyBorder="1" applyAlignment="1">
      <alignment vertical="center"/>
    </xf>
    <xf numFmtId="0" fontId="49" fillId="4" borderId="33" xfId="0" applyFont="1" applyFill="1" applyBorder="1" applyAlignment="1">
      <alignment vertical="center"/>
    </xf>
    <xf numFmtId="0" fontId="49" fillId="4" borderId="34" xfId="0" applyFont="1" applyFill="1" applyBorder="1" applyAlignment="1">
      <alignment vertical="center"/>
    </xf>
    <xf numFmtId="0" fontId="50" fillId="4" borderId="31" xfId="0" applyFont="1" applyFill="1" applyBorder="1" applyAlignment="1">
      <alignment horizontal="right" vertical="center"/>
    </xf>
    <xf numFmtId="0" fontId="50" fillId="4" borderId="33" xfId="0" applyFont="1" applyFill="1" applyBorder="1" applyAlignment="1">
      <alignment horizontal="right" vertical="center"/>
    </xf>
    <xf numFmtId="0" fontId="50" fillId="4" borderId="34" xfId="0" applyFont="1" applyFill="1" applyBorder="1" applyAlignment="1">
      <alignment horizontal="right" vertical="center"/>
    </xf>
    <xf numFmtId="0" fontId="48" fillId="4" borderId="34" xfId="0" applyFont="1" applyFill="1" applyBorder="1" applyAlignment="1">
      <alignment horizontal="center" vertical="center"/>
    </xf>
    <xf numFmtId="0" fontId="54" fillId="0" borderId="31" xfId="0" applyFont="1" applyFill="1" applyBorder="1" applyAlignment="1">
      <alignment horizontal="right" vertical="center"/>
    </xf>
    <xf numFmtId="0" fontId="54" fillId="0" borderId="33" xfId="0" applyFont="1" applyFill="1" applyBorder="1" applyAlignment="1">
      <alignment horizontal="right" vertical="center"/>
    </xf>
    <xf numFmtId="0" fontId="54" fillId="0" borderId="34" xfId="0" applyFont="1" applyFill="1" applyBorder="1" applyAlignment="1">
      <alignment horizontal="right" vertical="center"/>
    </xf>
    <xf numFmtId="0" fontId="54" fillId="0" borderId="31" xfId="0" applyFont="1" applyFill="1" applyBorder="1" applyAlignment="1">
      <alignment horizontal="right" vertical="center" wrapText="1"/>
    </xf>
    <xf numFmtId="0" fontId="54" fillId="0" borderId="33" xfId="0" applyFont="1" applyFill="1" applyBorder="1" applyAlignment="1">
      <alignment horizontal="right" vertical="center" wrapText="1"/>
    </xf>
    <xf numFmtId="0" fontId="54" fillId="0" borderId="34" xfId="0" applyFont="1" applyFill="1" applyBorder="1" applyAlignment="1">
      <alignment horizontal="right" vertical="center" wrapText="1"/>
    </xf>
    <xf numFmtId="0" fontId="48" fillId="4" borderId="33" xfId="0" applyFont="1" applyFill="1" applyBorder="1" applyAlignment="1">
      <alignment horizontal="center" vertical="center"/>
    </xf>
    <xf numFmtId="0" fontId="50" fillId="7" borderId="31" xfId="0" applyFont="1" applyFill="1" applyBorder="1" applyAlignment="1">
      <alignment vertical="center"/>
    </xf>
    <xf numFmtId="0" fontId="50" fillId="7" borderId="33" xfId="0" applyFont="1" applyFill="1" applyBorder="1" applyAlignment="1">
      <alignment vertical="center"/>
    </xf>
    <xf numFmtId="0" fontId="50" fillId="7" borderId="34" xfId="0" applyFont="1" applyFill="1" applyBorder="1" applyAlignment="1">
      <alignment vertical="center"/>
    </xf>
    <xf numFmtId="0" fontId="50" fillId="7" borderId="31" xfId="0" applyFont="1" applyFill="1" applyBorder="1" applyAlignment="1">
      <alignment horizontal="right" vertical="center"/>
    </xf>
    <xf numFmtId="0" fontId="50" fillId="7" borderId="33" xfId="0" applyFont="1" applyFill="1" applyBorder="1" applyAlignment="1">
      <alignment horizontal="right" vertical="center"/>
    </xf>
    <xf numFmtId="0" fontId="50" fillId="7" borderId="34" xfId="0" applyFont="1" applyFill="1" applyBorder="1" applyAlignment="1">
      <alignment horizontal="right" vertical="center"/>
    </xf>
    <xf numFmtId="0" fontId="49" fillId="0" borderId="41" xfId="0" applyFont="1" applyFill="1" applyBorder="1" applyAlignment="1">
      <alignment vertical="center"/>
    </xf>
    <xf numFmtId="0" fontId="49" fillId="0" borderId="0" xfId="0" applyFont="1" applyFill="1" applyAlignment="1">
      <alignment vertical="center"/>
    </xf>
    <xf numFmtId="0" fontId="49" fillId="0" borderId="42" xfId="0" applyFont="1" applyFill="1" applyBorder="1" applyAlignment="1">
      <alignment vertical="center"/>
    </xf>
    <xf numFmtId="0" fontId="49" fillId="0" borderId="39" xfId="0" applyFont="1" applyFill="1" applyBorder="1" applyAlignment="1">
      <alignment vertical="center"/>
    </xf>
    <xf numFmtId="0" fontId="49" fillId="0" borderId="40" xfId="0" applyFont="1" applyFill="1" applyBorder="1" applyAlignment="1">
      <alignment vertical="center"/>
    </xf>
    <xf numFmtId="0" fontId="49" fillId="0" borderId="32" xfId="0" applyFont="1" applyFill="1" applyBorder="1" applyAlignment="1">
      <alignment vertical="center"/>
    </xf>
    <xf numFmtId="0" fontId="42" fillId="0" borderId="26" xfId="0" applyNumberFormat="1" applyFont="1" applyBorder="1" applyAlignment="1">
      <alignment horizontal="justify" wrapText="1"/>
    </xf>
    <xf numFmtId="0" fontId="2" fillId="6" borderId="0" xfId="0" applyNumberFormat="1" applyFont="1" applyFill="1" applyAlignment="1">
      <alignment horizontal="left"/>
    </xf>
    <xf numFmtId="0" fontId="2" fillId="6" borderId="23" xfId="0" applyNumberFormat="1" applyFont="1" applyFill="1" applyBorder="1" applyAlignment="1">
      <alignment horizontal="left"/>
    </xf>
    <xf numFmtId="0" fontId="2" fillId="6" borderId="6" xfId="0" applyNumberFormat="1" applyFont="1" applyFill="1" applyBorder="1" applyAlignment="1">
      <alignment horizontal="left"/>
    </xf>
    <xf numFmtId="0" fontId="2" fillId="6" borderId="7" xfId="0" applyNumberFormat="1" applyFont="1" applyFill="1" applyBorder="1" applyAlignment="1">
      <alignment horizontal="left"/>
    </xf>
    <xf numFmtId="0" fontId="2" fillId="6" borderId="26" xfId="0" applyNumberFormat="1" applyFont="1" applyFill="1" applyBorder="1" applyAlignment="1">
      <alignment horizontal="left"/>
    </xf>
    <xf numFmtId="0" fontId="2" fillId="6" borderId="22" xfId="0" applyNumberFormat="1" applyFont="1" applyFill="1" applyBorder="1" applyAlignment="1">
      <alignment horizontal="left"/>
    </xf>
    <xf numFmtId="0" fontId="53" fillId="3" borderId="22" xfId="0" applyNumberFormat="1" applyFont="1" applyFill="1" applyBorder="1" applyAlignment="1">
      <alignment horizontal="center" vertical="center"/>
    </xf>
    <xf numFmtId="0" fontId="53" fillId="3" borderId="20" xfId="0" applyNumberFormat="1" applyFont="1" applyFill="1" applyBorder="1" applyAlignment="1">
      <alignment horizontal="center" vertical="center"/>
    </xf>
    <xf numFmtId="0" fontId="53" fillId="3" borderId="23" xfId="0" applyNumberFormat="1" applyFont="1" applyFill="1" applyBorder="1" applyAlignment="1">
      <alignment horizontal="center" vertical="center"/>
    </xf>
    <xf numFmtId="0" fontId="53" fillId="3" borderId="24" xfId="0" applyNumberFormat="1" applyFont="1" applyFill="1" applyBorder="1" applyAlignment="1">
      <alignment horizontal="center" vertical="center"/>
    </xf>
    <xf numFmtId="0" fontId="53" fillId="3" borderId="7" xfId="0" applyNumberFormat="1" applyFont="1" applyFill="1" applyBorder="1" applyAlignment="1">
      <alignment horizontal="center" vertical="center"/>
    </xf>
    <xf numFmtId="0" fontId="53" fillId="3" borderId="21" xfId="0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2" fillId="3" borderId="26" xfId="0" applyNumberFormat="1" applyFont="1" applyFill="1" applyBorder="1" applyAlignment="1">
      <alignment horizontal="left"/>
    </xf>
    <xf numFmtId="0" fontId="2" fillId="3" borderId="22" xfId="0" applyNumberFormat="1" applyFont="1" applyFill="1" applyBorder="1" applyAlignment="1">
      <alignment horizontal="left"/>
    </xf>
    <xf numFmtId="0" fontId="2" fillId="6" borderId="26" xfId="0" applyNumberFormat="1" applyFont="1" applyFill="1" applyBorder="1" applyAlignment="1">
      <alignment horizontal="left" wrapText="1"/>
    </xf>
    <xf numFmtId="0" fontId="2" fillId="6" borderId="22" xfId="0" applyNumberFormat="1" applyFont="1" applyFill="1" applyBorder="1" applyAlignment="1">
      <alignment horizontal="left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7" fontId="2" fillId="0" borderId="8" xfId="0" applyNumberFormat="1" applyFont="1" applyBorder="1" applyAlignment="1">
      <alignment horizontal="right"/>
    </xf>
    <xf numFmtId="167" fontId="2" fillId="0" borderId="11" xfId="0" applyNumberFormat="1" applyFont="1" applyBorder="1" applyAlignment="1">
      <alignment horizontal="right"/>
    </xf>
    <xf numFmtId="0" fontId="2" fillId="0" borderId="17" xfId="0" applyNumberFormat="1" applyFont="1" applyBorder="1" applyAlignment="1">
      <alignment horizontal="left"/>
    </xf>
    <xf numFmtId="0" fontId="3" fillId="3" borderId="8" xfId="0" applyNumberFormat="1" applyFont="1" applyFill="1" applyBorder="1" applyAlignment="1">
      <alignment horizontal="center"/>
    </xf>
    <xf numFmtId="0" fontId="3" fillId="3" borderId="11" xfId="0" applyNumberFormat="1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6" fillId="0" borderId="2" xfId="3" applyFont="1" applyFill="1" applyBorder="1" applyAlignment="1">
      <alignment horizontal="center"/>
    </xf>
    <xf numFmtId="0" fontId="6" fillId="0" borderId="19" xfId="3" applyFont="1" applyFill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18" fillId="0" borderId="1" xfId="3" applyFont="1" applyBorder="1" applyAlignment="1">
      <alignment horizontal="center"/>
    </xf>
    <xf numFmtId="0" fontId="18" fillId="0" borderId="2" xfId="3" applyFont="1" applyBorder="1" applyAlignment="1">
      <alignment horizontal="center"/>
    </xf>
    <xf numFmtId="0" fontId="18" fillId="0" borderId="3" xfId="3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2" xfId="0" applyFont="1" applyFill="1" applyBorder="1" applyAlignment="1">
      <alignment horizontal="center"/>
    </xf>
    <xf numFmtId="0" fontId="13" fillId="0" borderId="19" xfId="0" applyFont="1" applyFill="1" applyBorder="1" applyAlignment="1">
      <alignment horizontal="center"/>
    </xf>
    <xf numFmtId="0" fontId="5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9" fillId="0" borderId="0" xfId="0" applyNumberFormat="1" applyFont="1" applyAlignment="1">
      <alignment horizontal="right"/>
    </xf>
    <xf numFmtId="4" fontId="13" fillId="0" borderId="13" xfId="0" applyNumberFormat="1" applyFont="1" applyBorder="1"/>
    <xf numFmtId="4" fontId="16" fillId="0" borderId="8" xfId="0" applyNumberFormat="1" applyFont="1" applyBorder="1" applyAlignment="1">
      <alignment horizontal="right"/>
    </xf>
    <xf numFmtId="0" fontId="13" fillId="0" borderId="1" xfId="0" applyFont="1" applyFill="1" applyBorder="1"/>
    <xf numFmtId="43" fontId="0" fillId="0" borderId="1" xfId="1" applyFont="1" applyBorder="1"/>
    <xf numFmtId="4" fontId="0" fillId="0" borderId="1" xfId="0" applyNumberFormat="1" applyBorder="1"/>
  </cellXfs>
  <cellStyles count="6">
    <cellStyle name="Normal" xfId="0" builtinId="0"/>
    <cellStyle name="Normal 6" xfId="3"/>
    <cellStyle name="Porcentagem" xfId="2" builtinId="5"/>
    <cellStyle name="Porcentagem 3" xfId="4"/>
    <cellStyle name="Separador de milhares" xfId="1" builtinId="3"/>
    <cellStyle name="Vírgula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Junho de 2020 a Maio de 2021</a:t>
            </a:r>
          </a:p>
        </c:rich>
      </c:tx>
      <c:layout>
        <c:manualLayout>
          <c:xMode val="edge"/>
          <c:yMode val="edge"/>
          <c:x val="0.29021563793887534"/>
          <c:y val="4.950119645640332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478047796284399"/>
          <c:y val="0.17138589988039302"/>
          <c:w val="0.85117366903648162"/>
          <c:h val="0.57263216759063251"/>
        </c:manualLayout>
      </c:layout>
      <c:lineChart>
        <c:grouping val="standard"/>
        <c:ser>
          <c:idx val="0"/>
          <c:order val="0"/>
          <c:tx>
            <c:v>Realizado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DCLP_RCL!$D$8:$O$8</c:f>
              <c:numCache>
                <c:formatCode>0.00%</c:formatCode>
                <c:ptCount val="12"/>
                <c:pt idx="0">
                  <c:v>0.64661015350223894</c:v>
                </c:pt>
                <c:pt idx="1">
                  <c:v>0.59319520199167486</c:v>
                </c:pt>
                <c:pt idx="2">
                  <c:v>0.59195023374445843</c:v>
                </c:pt>
                <c:pt idx="3">
                  <c:v>0.6500155723880654</c:v>
                </c:pt>
                <c:pt idx="4">
                  <c:v>0.65053580526251431</c:v>
                </c:pt>
                <c:pt idx="5">
                  <c:v>0.5344369325580125</c:v>
                </c:pt>
                <c:pt idx="6">
                  <c:v>0.7459519933307458</c:v>
                </c:pt>
                <c:pt idx="7">
                  <c:v>0.54049502859985366</c:v>
                </c:pt>
                <c:pt idx="8">
                  <c:v>0.47934947811717193</c:v>
                </c:pt>
                <c:pt idx="9">
                  <c:v>0.42439550984133823</c:v>
                </c:pt>
                <c:pt idx="10">
                  <c:v>0.44330817899574315</c:v>
                </c:pt>
                <c:pt idx="11">
                  <c:v>0.42025736890823301</c:v>
                </c:pt>
              </c:numCache>
            </c:numRef>
          </c:val>
        </c:ser>
        <c:ser>
          <c:idx val="1"/>
          <c:order val="1"/>
          <c:tx>
            <c:v>Limite: 54,00%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[1]Plan1!$D$9:$O$9</c:f>
              <c:numCache>
                <c:formatCode>General</c:formatCode>
                <c:ptCount val="12"/>
                <c:pt idx="0">
                  <c:v>0.54</c:v>
                </c:pt>
                <c:pt idx="1">
                  <c:v>0.54</c:v>
                </c:pt>
                <c:pt idx="2">
                  <c:v>0.54</c:v>
                </c:pt>
                <c:pt idx="3">
                  <c:v>0.54</c:v>
                </c:pt>
                <c:pt idx="4">
                  <c:v>0.54</c:v>
                </c:pt>
                <c:pt idx="5">
                  <c:v>0.54</c:v>
                </c:pt>
                <c:pt idx="6">
                  <c:v>0.54</c:v>
                </c:pt>
                <c:pt idx="7">
                  <c:v>0.54</c:v>
                </c:pt>
                <c:pt idx="8">
                  <c:v>0.54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</c:ser>
        <c:marker val="1"/>
        <c:axId val="86090880"/>
        <c:axId val="86102016"/>
      </c:lineChart>
      <c:catAx>
        <c:axId val="86090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Meses</a:t>
                </a:r>
              </a:p>
            </c:rich>
          </c:tx>
          <c:layout>
            <c:manualLayout>
              <c:xMode val="edge"/>
              <c:yMode val="edge"/>
              <c:x val="0.51061638571774004"/>
              <c:y val="0.8884218942830837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6102016"/>
        <c:crosses val="autoZero"/>
        <c:auto val="1"/>
        <c:lblAlgn val="ctr"/>
        <c:lblOffset val="100"/>
        <c:tickLblSkip val="1"/>
        <c:tickMarkSkip val="1"/>
      </c:catAx>
      <c:valAx>
        <c:axId val="861020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85323643055317E-2"/>
              <c:y val="0.24631613101342531"/>
            </c:manualLayout>
          </c:layout>
          <c:spPr>
            <a:noFill/>
            <a:ln w="25400">
              <a:noFill/>
            </a:ln>
          </c:spPr>
        </c:title>
        <c:numFmt formatCode="0.0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60908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82683005049900815"/>
          <c:y val="2.9473501242808224E-2"/>
          <c:w val="0.13375806747560814"/>
          <c:h val="9.052649875719220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093" footer="0.4921259850000009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[2]CRUZ!$J$102:$J$117</c:f>
              <c:numCache>
                <c:formatCode>General</c:formatCode>
                <c:ptCount val="16"/>
                <c:pt idx="0">
                  <c:v>59301.533333333209</c:v>
                </c:pt>
                <c:pt idx="1">
                  <c:v>-28113.66333333333</c:v>
                </c:pt>
                <c:pt idx="2">
                  <c:v>-8269.1199999999953</c:v>
                </c:pt>
                <c:pt idx="3">
                  <c:v>5654.826666666675</c:v>
                </c:pt>
                <c:pt idx="4">
                  <c:v>-70756.576666666893</c:v>
                </c:pt>
                <c:pt idx="5">
                  <c:v>13654.580000000016</c:v>
                </c:pt>
                <c:pt idx="6">
                  <c:v>78357.869999999966</c:v>
                </c:pt>
                <c:pt idx="7">
                  <c:v>-182954.47666666657</c:v>
                </c:pt>
                <c:pt idx="8">
                  <c:v>-129513.63666666579</c:v>
                </c:pt>
                <c:pt idx="9">
                  <c:v>88479.670000000391</c:v>
                </c:pt>
                <c:pt idx="10">
                  <c:v>80146.053333333286</c:v>
                </c:pt>
                <c:pt idx="11">
                  <c:v>104245.48333333328</c:v>
                </c:pt>
                <c:pt idx="12">
                  <c:v>7241.7066666666651</c:v>
                </c:pt>
                <c:pt idx="13">
                  <c:v>35295.373333333329</c:v>
                </c:pt>
                <c:pt idx="14">
                  <c:v>217853.67333333334</c:v>
                </c:pt>
                <c:pt idx="15">
                  <c:v>-176204.25333333411</c:v>
                </c:pt>
              </c:numCache>
            </c:numRef>
          </c:val>
        </c:ser>
        <c:axId val="54686080"/>
        <c:axId val="54687616"/>
      </c:barChart>
      <c:catAx>
        <c:axId val="546860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4687616"/>
        <c:crosses val="autoZero"/>
        <c:auto val="1"/>
        <c:lblAlgn val="ctr"/>
        <c:lblOffset val="100"/>
        <c:tickLblSkip val="1"/>
        <c:tickMarkSkip val="1"/>
      </c:catAx>
      <c:valAx>
        <c:axId val="546876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46860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104" footer="0.492125985000001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[2]CRUZ!$J$192:$J$207</c:f>
              <c:numCache>
                <c:formatCode>General</c:formatCode>
                <c:ptCount val="16"/>
                <c:pt idx="0">
                  <c:v>67808.04999999993</c:v>
                </c:pt>
                <c:pt idx="1">
                  <c:v>18918.219999999972</c:v>
                </c:pt>
                <c:pt idx="2">
                  <c:v>9857.5100000000093</c:v>
                </c:pt>
                <c:pt idx="3">
                  <c:v>1006.5599999999977</c:v>
                </c:pt>
                <c:pt idx="4">
                  <c:v>249769.87999999989</c:v>
                </c:pt>
                <c:pt idx="5">
                  <c:v>29268.719999999972</c:v>
                </c:pt>
                <c:pt idx="6">
                  <c:v>13008.560000000056</c:v>
                </c:pt>
                <c:pt idx="7">
                  <c:v>101946.72999999998</c:v>
                </c:pt>
                <c:pt idx="8">
                  <c:v>533680.19999999925</c:v>
                </c:pt>
                <c:pt idx="9">
                  <c:v>378077.09999999963</c:v>
                </c:pt>
                <c:pt idx="10">
                  <c:v>35528.70000000007</c:v>
                </c:pt>
                <c:pt idx="11">
                  <c:v>60700.789999999804</c:v>
                </c:pt>
                <c:pt idx="12">
                  <c:v>23912.360000000102</c:v>
                </c:pt>
                <c:pt idx="13">
                  <c:v>7234.86</c:v>
                </c:pt>
                <c:pt idx="14">
                  <c:v>222838.98999999976</c:v>
                </c:pt>
                <c:pt idx="15">
                  <c:v>-676947.98000000138</c:v>
                </c:pt>
              </c:numCache>
            </c:numRef>
          </c:val>
        </c:ser>
        <c:axId val="54707712"/>
        <c:axId val="54709248"/>
      </c:barChart>
      <c:catAx>
        <c:axId val="547077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4709248"/>
        <c:crosses val="autoZero"/>
        <c:auto val="1"/>
        <c:lblAlgn val="ctr"/>
        <c:lblOffset val="100"/>
        <c:tickLblSkip val="1"/>
        <c:tickMarkSkip val="1"/>
      </c:catAx>
      <c:valAx>
        <c:axId val="547092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470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104" footer="0.492125985000001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Termometro de Cruz</a:t>
            </a:r>
          </a:p>
        </c:rich>
      </c:tx>
      <c:layout>
        <c:manualLayout>
          <c:xMode val="edge"/>
          <c:yMode val="edge"/>
          <c:x val="0.38213951629748732"/>
          <c:y val="2.857151476755060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980283152707991"/>
          <c:y val="0.22285755739873017"/>
          <c:w val="0.82866127646887988"/>
          <c:h val="0.72952516652746768"/>
        </c:manualLayout>
      </c:layout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Cruz!$K$11:$K$26</c:f>
              <c:numCache>
                <c:formatCode>_ * #,##0.00_ ;_ * \-#,##0.00_ ;_ * "-"??_ ;_ @_ </c:formatCode>
                <c:ptCount val="16"/>
                <c:pt idx="0">
                  <c:v>20.324340415373591</c:v>
                </c:pt>
                <c:pt idx="1">
                  <c:v>8.285015912382848</c:v>
                </c:pt>
                <c:pt idx="2">
                  <c:v>44.442951142730877</c:v>
                </c:pt>
                <c:pt idx="3">
                  <c:v>11.639174845587437</c:v>
                </c:pt>
                <c:pt idx="4">
                  <c:v>-6.4077538011582433</c:v>
                </c:pt>
                <c:pt idx="5">
                  <c:v>10.364318485645413</c:v>
                </c:pt>
                <c:pt idx="6">
                  <c:v>42.157300774851059</c:v>
                </c:pt>
                <c:pt idx="7">
                  <c:v>16.680548194107189</c:v>
                </c:pt>
                <c:pt idx="8">
                  <c:v>16.637090417603734</c:v>
                </c:pt>
                <c:pt idx="9">
                  <c:v>-5.8745931727897407</c:v>
                </c:pt>
                <c:pt idx="10">
                  <c:v>10.495623606364287</c:v>
                </c:pt>
                <c:pt idx="11">
                  <c:v>22.597736545800515</c:v>
                </c:pt>
                <c:pt idx="12">
                  <c:v>9.3480318582310797</c:v>
                </c:pt>
                <c:pt idx="13">
                  <c:v>100</c:v>
                </c:pt>
                <c:pt idx="14">
                  <c:v>10.807131766669812</c:v>
                </c:pt>
                <c:pt idx="15">
                  <c:v>-43.659534572959501</c:v>
                </c:pt>
              </c:numCache>
            </c:numRef>
          </c:val>
        </c:ser>
        <c:axId val="85596800"/>
        <c:axId val="85619072"/>
      </c:barChart>
      <c:catAx>
        <c:axId val="8559680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5619072"/>
        <c:crosses val="autoZero"/>
        <c:auto val="1"/>
        <c:lblAlgn val="ctr"/>
        <c:lblOffset val="100"/>
        <c:tickLblSkip val="1"/>
        <c:tickMarkSkip val="1"/>
      </c:catAx>
      <c:valAx>
        <c:axId val="856190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 * #,##0.00_ ;_ * \-#,##0.00_ ;_ * &quot;-&quot;??_ ;_ @_ 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5596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3208802186923849"/>
          <c:y val="3.0476161744149802E-2"/>
          <c:w val="0.15057116130379897"/>
          <c:h val="6.857171589183536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104" footer="0.4921259850000010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13</xdr:col>
      <xdr:colOff>504825</xdr:colOff>
      <xdr:row>43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6353175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13</xdr:col>
      <xdr:colOff>504825</xdr:colOff>
      <xdr:row>113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26250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137</xdr:row>
      <xdr:rowOff>0</xdr:rowOff>
    </xdr:from>
    <xdr:to>
      <xdr:col>13</xdr:col>
      <xdr:colOff>504825</xdr:colOff>
      <xdr:row>138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37934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161</xdr:row>
      <xdr:rowOff>0</xdr:rowOff>
    </xdr:from>
    <xdr:to>
      <xdr:col>13</xdr:col>
      <xdr:colOff>504825</xdr:colOff>
      <xdr:row>162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9994225"/>
          <a:ext cx="1285875" cy="142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74</xdr:row>
      <xdr:rowOff>0</xdr:rowOff>
    </xdr:from>
    <xdr:to>
      <xdr:col>39</xdr:col>
      <xdr:colOff>323850</xdr:colOff>
      <xdr:row>75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825" y="10772775"/>
          <a:ext cx="1333500" cy="209550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74</xdr:row>
      <xdr:rowOff>0</xdr:rowOff>
    </xdr:from>
    <xdr:to>
      <xdr:col>37</xdr:col>
      <xdr:colOff>438150</xdr:colOff>
      <xdr:row>75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4325" y="10772775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75</xdr:row>
      <xdr:rowOff>0</xdr:rowOff>
    </xdr:from>
    <xdr:to>
      <xdr:col>37</xdr:col>
      <xdr:colOff>438150</xdr:colOff>
      <xdr:row>76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4325" y="109823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80</xdr:row>
      <xdr:rowOff>0</xdr:rowOff>
    </xdr:from>
    <xdr:to>
      <xdr:col>33</xdr:col>
      <xdr:colOff>361950</xdr:colOff>
      <xdr:row>81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38675" y="11991975"/>
          <a:ext cx="1352550" cy="1333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80</xdr:row>
      <xdr:rowOff>0</xdr:rowOff>
    </xdr:from>
    <xdr:to>
      <xdr:col>32</xdr:col>
      <xdr:colOff>152400</xdr:colOff>
      <xdr:row>81</xdr:row>
      <xdr:rowOff>0</xdr:rowOff>
    </xdr:to>
    <xdr:pic>
      <xdr:nvPicPr>
        <xdr:cNvPr id="6" name="Picture 5" descr="image0000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91225" y="11991975"/>
          <a:ext cx="676275" cy="13335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80</xdr:row>
      <xdr:rowOff>0</xdr:rowOff>
    </xdr:from>
    <xdr:to>
      <xdr:col>33</xdr:col>
      <xdr:colOff>561975</xdr:colOff>
      <xdr:row>81</xdr:row>
      <xdr:rowOff>0</xdr:rowOff>
    </xdr:to>
    <xdr:pic>
      <xdr:nvPicPr>
        <xdr:cNvPr id="7" name="Picture 6" descr="image0000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00" y="11991975"/>
          <a:ext cx="666750" cy="13335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80</xdr:row>
      <xdr:rowOff>0</xdr:rowOff>
    </xdr:from>
    <xdr:to>
      <xdr:col>35</xdr:col>
      <xdr:colOff>447675</xdr:colOff>
      <xdr:row>81</xdr:row>
      <xdr:rowOff>0</xdr:rowOff>
    </xdr:to>
    <xdr:pic>
      <xdr:nvPicPr>
        <xdr:cNvPr id="8" name="Picture 7" descr="image0000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0" y="11991975"/>
          <a:ext cx="600075" cy="133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14</xdr:col>
      <xdr:colOff>527050</xdr:colOff>
      <xdr:row>51</xdr:row>
      <xdr:rowOff>58737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0.86092</cdr:x>
      <cdr:y>0.37333</cdr:y>
    </cdr:from>
    <cdr:to>
      <cdr:x>0.9188</cdr:x>
      <cdr:y>0.43378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51952" y="1586557"/>
          <a:ext cx="521169" cy="2568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Ago/20</a:t>
          </a:r>
        </a:p>
      </cdr:txBody>
    </cdr:sp>
  </cdr:relSizeAnchor>
  <cdr:relSizeAnchor xmlns:cdr="http://schemas.openxmlformats.org/drawingml/2006/chartDrawing">
    <cdr:from>
      <cdr:x>0.71207</cdr:x>
      <cdr:y>0.39777</cdr:y>
    </cdr:from>
    <cdr:to>
      <cdr:x>0.77069</cdr:x>
      <cdr:y>0.45895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11689" y="1690407"/>
          <a:ext cx="527832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Out/20</a:t>
          </a:r>
        </a:p>
      </cdr:txBody>
    </cdr:sp>
  </cdr:relSizeAnchor>
  <cdr:relSizeAnchor xmlns:cdr="http://schemas.openxmlformats.org/drawingml/2006/chartDrawing">
    <cdr:from>
      <cdr:x>0.66444</cdr:x>
      <cdr:y>0.30302</cdr:y>
    </cdr:from>
    <cdr:to>
      <cdr:x>0.72232</cdr:x>
      <cdr:y>0.36519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82787" y="1287744"/>
          <a:ext cx="521169" cy="2642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Nov/20</a:t>
          </a:r>
        </a:p>
      </cdr:txBody>
    </cdr:sp>
  </cdr:relSizeAnchor>
  <cdr:relSizeAnchor xmlns:cdr="http://schemas.openxmlformats.org/drawingml/2006/chartDrawing">
    <cdr:from>
      <cdr:x>0.23187</cdr:x>
      <cdr:y>0.25778</cdr:y>
    </cdr:from>
    <cdr:to>
      <cdr:x>0.2895</cdr:x>
      <cdr:y>0.31897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87848" y="1095492"/>
          <a:ext cx="518918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Mai/21</a:t>
          </a:r>
        </a:p>
      </cdr:txBody>
    </cdr:sp>
  </cdr:relSizeAnchor>
  <cdr:relSizeAnchor xmlns:cdr="http://schemas.openxmlformats.org/drawingml/2006/chartDrawing">
    <cdr:from>
      <cdr:x>0.15657</cdr:x>
      <cdr:y>0.23275</cdr:y>
    </cdr:from>
    <cdr:to>
      <cdr:x>0.21371</cdr:x>
      <cdr:y>0.29369</cdr:y>
    </cdr:to>
    <cdr:sp macro="" textlink="">
      <cdr:nvSpPr>
        <cdr:cNvPr id="20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9822" y="989112"/>
          <a:ext cx="514506" cy="2589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Jun/20</a:t>
          </a:r>
        </a:p>
      </cdr:txBody>
    </cdr:sp>
  </cdr:relSizeAnchor>
  <cdr:relSizeAnchor xmlns:cdr="http://schemas.openxmlformats.org/drawingml/2006/chartDrawing">
    <cdr:from>
      <cdr:x>0.29961</cdr:x>
      <cdr:y>0.26399</cdr:y>
    </cdr:from>
    <cdr:to>
      <cdr:x>0.35823</cdr:x>
      <cdr:y>0.32517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97779" y="1121909"/>
          <a:ext cx="527832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Abr/21</a:t>
          </a:r>
        </a:p>
      </cdr:txBody>
    </cdr:sp>
  </cdr:relSizeAnchor>
  <cdr:relSizeAnchor xmlns:cdr="http://schemas.openxmlformats.org/drawingml/2006/chartDrawing">
    <cdr:from>
      <cdr:x>0.37395</cdr:x>
      <cdr:y>0.22667</cdr:y>
    </cdr:from>
    <cdr:to>
      <cdr:x>0.43257</cdr:x>
      <cdr:y>0.28786</cdr:y>
    </cdr:to>
    <cdr:sp macro="" textlink="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67128" y="963282"/>
          <a:ext cx="527832" cy="260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Mar/21</a:t>
          </a:r>
        </a:p>
      </cdr:txBody>
    </cdr:sp>
  </cdr:relSizeAnchor>
  <cdr:relSizeAnchor xmlns:cdr="http://schemas.openxmlformats.org/drawingml/2006/chartDrawing">
    <cdr:from>
      <cdr:x>0.58791</cdr:x>
      <cdr:y>0.16125</cdr:y>
    </cdr:from>
    <cdr:to>
      <cdr:x>0.64504</cdr:x>
      <cdr:y>0.22243</cdr:y>
    </cdr:to>
    <cdr:sp macro="" textlink="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3703" y="685259"/>
          <a:ext cx="514416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Dez/20</a:t>
          </a:r>
        </a:p>
      </cdr:txBody>
    </cdr:sp>
  </cdr:relSizeAnchor>
  <cdr:relSizeAnchor xmlns:cdr="http://schemas.openxmlformats.org/drawingml/2006/chartDrawing">
    <cdr:from>
      <cdr:x>0.5127</cdr:x>
      <cdr:y>0.36941</cdr:y>
    </cdr:from>
    <cdr:to>
      <cdr:x>0.57058</cdr:x>
      <cdr:y>0.4306</cdr:y>
    </cdr:to>
    <cdr:sp macro="" textlink="">
      <cdr:nvSpPr>
        <cdr:cNvPr id="205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16506" y="1569895"/>
          <a:ext cx="521169" cy="260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Jan/21</a:t>
          </a:r>
        </a:p>
      </cdr:txBody>
    </cdr:sp>
  </cdr:relSizeAnchor>
  <cdr:relSizeAnchor xmlns:cdr="http://schemas.openxmlformats.org/drawingml/2006/chartDrawing">
    <cdr:from>
      <cdr:x>0.45338</cdr:x>
      <cdr:y>0.2315</cdr:y>
    </cdr:from>
    <cdr:to>
      <cdr:x>0.51126</cdr:x>
      <cdr:y>0.29147</cdr:y>
    </cdr:to>
    <cdr:sp macro="" textlink="">
      <cdr:nvSpPr>
        <cdr:cNvPr id="205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82378" y="983809"/>
          <a:ext cx="521169" cy="2548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Fev/21</a:t>
          </a:r>
        </a:p>
      </cdr:txBody>
    </cdr:sp>
  </cdr:relSizeAnchor>
  <cdr:relSizeAnchor xmlns:cdr="http://schemas.openxmlformats.org/drawingml/2006/chartDrawing">
    <cdr:from>
      <cdr:x>0.92524</cdr:x>
      <cdr:y>0.38378</cdr:y>
    </cdr:from>
    <cdr:to>
      <cdr:x>0.98411</cdr:x>
      <cdr:y>0.44571</cdr:y>
    </cdr:to>
    <cdr:sp macro="" textlink="">
      <cdr:nvSpPr>
        <cdr:cNvPr id="205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31147" y="1630953"/>
          <a:ext cx="530084" cy="2631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Jul/20</a:t>
          </a:r>
        </a:p>
      </cdr:txBody>
    </cdr:sp>
  </cdr:relSizeAnchor>
  <cdr:relSizeAnchor xmlns:cdr="http://schemas.openxmlformats.org/drawingml/2006/chartDrawing">
    <cdr:from>
      <cdr:x>0.79425</cdr:x>
      <cdr:y>0.38425</cdr:y>
    </cdr:from>
    <cdr:to>
      <cdr:x>0.85213</cdr:x>
      <cdr:y>0.44544</cdr:y>
    </cdr:to>
    <cdr:sp macro="" textlink="">
      <cdr:nvSpPr>
        <cdr:cNvPr id="206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51686" y="1632961"/>
          <a:ext cx="521169" cy="260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Set/20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76200</xdr:rowOff>
    </xdr:from>
    <xdr:to>
      <xdr:col>10</xdr:col>
      <xdr:colOff>628650</xdr:colOff>
      <xdr:row>73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21\Presta&#231;&#227;o_De_Contas_Abril_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eus%20documentos\Exerc2006\Apresenta12de20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REO"/>
      <sheetName val="RGF"/>
      <sheetName val="BalOrç"/>
      <sheetName val="SubFunç"/>
      <sheetName val="RPPS"/>
      <sheetName val="Prim"/>
      <sheetName val="RCL"/>
      <sheetName val="DCLP"/>
      <sheetName val="Plan1"/>
      <sheetName val="Mini"/>
      <sheetName val="DespEduc"/>
      <sheetName val="Cronogra"/>
      <sheetName val="Cruz"/>
      <sheetName val="MDE"/>
      <sheetName val="ASPS"/>
      <sheetName val="DespEmp"/>
      <sheetName val="DespLiq"/>
      <sheetName val="DespPaga"/>
      <sheetName val="Exec"/>
      <sheetName val="RAP"/>
      <sheetName val="AcompFA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9">
            <v>0.54</v>
          </cell>
          <cell r="E9">
            <v>0.54</v>
          </cell>
          <cell r="F9">
            <v>0.54</v>
          </cell>
          <cell r="G9">
            <v>0.54</v>
          </cell>
          <cell r="H9">
            <v>0.54</v>
          </cell>
          <cell r="I9">
            <v>0.54</v>
          </cell>
          <cell r="J9">
            <v>0.54</v>
          </cell>
          <cell r="K9">
            <v>0.54</v>
          </cell>
          <cell r="L9">
            <v>0.54</v>
          </cell>
          <cell r="M9">
            <v>0.54</v>
          </cell>
          <cell r="N9">
            <v>0.54</v>
          </cell>
          <cell r="O9">
            <v>0.54</v>
          </cell>
        </row>
      </sheetData>
      <sheetData sheetId="9">
        <row r="20">
          <cell r="D20">
            <v>8576229.0500000007</v>
          </cell>
        </row>
      </sheetData>
      <sheetData sheetId="10" refreshError="1"/>
      <sheetData sheetId="11">
        <row r="40">
          <cell r="AE40">
            <v>40865393.119999997</v>
          </cell>
        </row>
      </sheetData>
      <sheetData sheetId="12">
        <row r="28">
          <cell r="I28">
            <v>144789216.63000003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PPS"/>
      <sheetName val="BalFin"/>
      <sheetName val="VarRPPS"/>
      <sheetName val="PatRPPS"/>
      <sheetName val="FinCons"/>
      <sheetName val="VarCons"/>
      <sheetName val="PatCons"/>
      <sheetName val="Consolid"/>
      <sheetName val="Financ"/>
      <sheetName val="BalSISTN"/>
      <sheetName val="Patrim"/>
      <sheetName val="Resum2"/>
      <sheetName val="DivAt"/>
      <sheetName val="Limites"/>
      <sheetName val="Mínim"/>
      <sheetName val="Atuarial"/>
      <sheetName val="CRUZ"/>
      <sheetName val="Metas"/>
      <sheetName val="DDPEL"/>
      <sheetName val="Resumos"/>
      <sheetName val="RCL"/>
      <sheetName val="MPS"/>
      <sheetName val="Disponib"/>
      <sheetName val="Funç"/>
      <sheetName val="BalOrç"/>
      <sheetName val="Prim"/>
      <sheetName val="Nomi"/>
      <sheetName val="DCL"/>
      <sheetName val="Restos"/>
      <sheetName val="RAPinscritos"/>
      <sheetName val="RecDespFAPS"/>
      <sheetName val="VINC"/>
      <sheetName val="Plan3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2">
          <cell r="J102">
            <v>59301.533333333209</v>
          </cell>
        </row>
        <row r="103">
          <cell r="J103">
            <v>-28113.66333333333</v>
          </cell>
        </row>
        <row r="104">
          <cell r="J104">
            <v>-8269.1199999999953</v>
          </cell>
        </row>
        <row r="105">
          <cell r="J105">
            <v>5654.826666666675</v>
          </cell>
        </row>
        <row r="106">
          <cell r="J106">
            <v>-70756.576666666893</v>
          </cell>
        </row>
        <row r="107">
          <cell r="J107">
            <v>13654.580000000016</v>
          </cell>
        </row>
        <row r="108">
          <cell r="J108">
            <v>78357.869999999966</v>
          </cell>
        </row>
        <row r="109">
          <cell r="J109">
            <v>-182954.47666666657</v>
          </cell>
        </row>
        <row r="110">
          <cell r="J110">
            <v>-129513.63666666579</v>
          </cell>
        </row>
        <row r="111">
          <cell r="J111">
            <v>88479.670000000391</v>
          </cell>
        </row>
        <row r="112">
          <cell r="J112">
            <v>80146.053333333286</v>
          </cell>
        </row>
        <row r="113">
          <cell r="J113">
            <v>104245.48333333328</v>
          </cell>
        </row>
        <row r="114">
          <cell r="J114">
            <v>7241.7066666666651</v>
          </cell>
        </row>
        <row r="115">
          <cell r="J115">
            <v>35295.373333333329</v>
          </cell>
        </row>
        <row r="116">
          <cell r="J116">
            <v>217853.67333333334</v>
          </cell>
        </row>
        <row r="117">
          <cell r="J117">
            <v>-176204.25333333411</v>
          </cell>
        </row>
        <row r="192">
          <cell r="J192">
            <v>67808.04999999993</v>
          </cell>
        </row>
        <row r="193">
          <cell r="J193">
            <v>18918.219999999972</v>
          </cell>
        </row>
        <row r="194">
          <cell r="J194">
            <v>9857.5100000000093</v>
          </cell>
        </row>
        <row r="195">
          <cell r="J195">
            <v>1006.5599999999977</v>
          </cell>
        </row>
        <row r="196">
          <cell r="J196">
            <v>249769.87999999989</v>
          </cell>
        </row>
        <row r="197">
          <cell r="J197">
            <v>29268.719999999972</v>
          </cell>
        </row>
        <row r="198">
          <cell r="J198">
            <v>13008.560000000056</v>
          </cell>
        </row>
        <row r="199">
          <cell r="J199">
            <v>101946.72999999998</v>
          </cell>
        </row>
        <row r="200">
          <cell r="J200">
            <v>533680.19999999925</v>
          </cell>
        </row>
        <row r="201">
          <cell r="J201">
            <v>378077.09999999963</v>
          </cell>
        </row>
        <row r="202">
          <cell r="J202">
            <v>35528.70000000007</v>
          </cell>
        </row>
        <row r="203">
          <cell r="J203">
            <v>60700.789999999804</v>
          </cell>
        </row>
        <row r="204">
          <cell r="J204">
            <v>23912.360000000102</v>
          </cell>
        </row>
        <row r="205">
          <cell r="J205">
            <v>7234.86</v>
          </cell>
        </row>
        <row r="206">
          <cell r="J206">
            <v>222838.98999999976</v>
          </cell>
        </row>
        <row r="207">
          <cell r="J207">
            <v>-676947.98000000138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workbookViewId="0">
      <selection activeCell="A29" sqref="A29:C29"/>
    </sheetView>
  </sheetViews>
  <sheetFormatPr defaultRowHeight="15"/>
  <cols>
    <col min="1" max="2" width="1.7109375" customWidth="1"/>
    <col min="3" max="3" width="42.140625" customWidth="1"/>
    <col min="4" max="4" width="11.7109375" customWidth="1"/>
    <col min="5" max="5" width="11.140625" customWidth="1"/>
    <col min="6" max="6" width="10.42578125" customWidth="1"/>
    <col min="7" max="7" width="11.42578125" customWidth="1"/>
    <col min="9" max="9" width="10.140625" bestFit="1" customWidth="1"/>
    <col min="256" max="256" width="59.7109375" customWidth="1"/>
  </cols>
  <sheetData>
    <row r="1" spans="1:7">
      <c r="A1" s="582" t="s">
        <v>1205</v>
      </c>
      <c r="B1" s="582"/>
      <c r="C1" s="582"/>
      <c r="D1" s="582"/>
      <c r="E1" s="582"/>
      <c r="F1" s="582"/>
      <c r="G1" s="582"/>
    </row>
    <row r="2" spans="1:7">
      <c r="A2" s="582" t="s">
        <v>1206</v>
      </c>
      <c r="B2" s="582"/>
      <c r="C2" s="582"/>
      <c r="D2" s="582"/>
      <c r="E2" s="582"/>
      <c r="F2" s="582"/>
      <c r="G2" s="582"/>
    </row>
    <row r="3" spans="1:7">
      <c r="A3" s="583" t="s">
        <v>1207</v>
      </c>
      <c r="B3" s="583"/>
      <c r="C3" s="583"/>
      <c r="D3" s="583"/>
      <c r="E3" s="583"/>
      <c r="F3" s="583"/>
      <c r="G3" s="583"/>
    </row>
    <row r="4" spans="1:7">
      <c r="A4" s="582" t="s">
        <v>1208</v>
      </c>
      <c r="B4" s="582"/>
      <c r="C4" s="582"/>
      <c r="D4" s="582"/>
      <c r="E4" s="582"/>
      <c r="F4" s="582"/>
      <c r="G4" s="582"/>
    </row>
    <row r="5" spans="1:7">
      <c r="A5" s="582" t="s">
        <v>1209</v>
      </c>
      <c r="B5" s="582"/>
      <c r="C5" s="582"/>
      <c r="D5" s="582"/>
      <c r="E5" s="582"/>
      <c r="F5" s="582"/>
      <c r="G5" s="582"/>
    </row>
    <row r="6" spans="1:7" ht="15.75" thickBot="1">
      <c r="A6" s="582" t="s">
        <v>1210</v>
      </c>
      <c r="B6" s="582"/>
      <c r="C6" s="582"/>
      <c r="F6" s="584" t="s">
        <v>1211</v>
      </c>
      <c r="G6" s="584"/>
    </row>
    <row r="7" spans="1:7" ht="15.75" thickBot="1">
      <c r="A7" s="537" t="s">
        <v>1212</v>
      </c>
      <c r="B7" s="538"/>
      <c r="C7" s="538"/>
      <c r="D7" s="538" t="s">
        <v>1213</v>
      </c>
      <c r="E7" s="538"/>
      <c r="F7" s="538"/>
      <c r="G7" s="539"/>
    </row>
    <row r="8" spans="1:7">
      <c r="A8" s="551" t="s">
        <v>1214</v>
      </c>
      <c r="B8" s="552"/>
      <c r="C8" s="552"/>
      <c r="D8" s="572"/>
      <c r="E8" s="572"/>
      <c r="F8" s="572"/>
      <c r="G8" s="573"/>
    </row>
    <row r="9" spans="1:7">
      <c r="B9" s="555" t="s">
        <v>1215</v>
      </c>
      <c r="C9" s="556"/>
      <c r="D9" s="557">
        <v>140361710.27000001</v>
      </c>
      <c r="E9" s="557"/>
      <c r="F9" s="557"/>
      <c r="G9" s="558"/>
    </row>
    <row r="10" spans="1:7">
      <c r="B10" s="555" t="s">
        <v>1216</v>
      </c>
      <c r="C10" s="556"/>
      <c r="D10" s="557">
        <v>143112549.65000001</v>
      </c>
      <c r="E10" s="557"/>
      <c r="F10" s="557"/>
      <c r="G10" s="558"/>
    </row>
    <row r="11" spans="1:7">
      <c r="B11" s="555" t="s">
        <v>1217</v>
      </c>
      <c r="C11" s="556"/>
      <c r="D11" s="557">
        <v>69783992.230000004</v>
      </c>
      <c r="E11" s="557"/>
      <c r="F11" s="557"/>
      <c r="G11" s="558"/>
    </row>
    <row r="12" spans="1:7">
      <c r="B12" s="555" t="s">
        <v>1218</v>
      </c>
      <c r="C12" s="556"/>
      <c r="D12" s="580" t="s">
        <v>1219</v>
      </c>
      <c r="E12" s="580"/>
      <c r="F12" s="580"/>
      <c r="G12" s="581"/>
    </row>
    <row r="13" spans="1:7">
      <c r="B13" s="555" t="s">
        <v>1220</v>
      </c>
      <c r="C13" s="556"/>
      <c r="D13" s="557">
        <v>3035789.01</v>
      </c>
      <c r="E13" s="557"/>
      <c r="F13" s="557"/>
      <c r="G13" s="558"/>
    </row>
    <row r="14" spans="1:7">
      <c r="A14" s="555" t="s">
        <v>1221</v>
      </c>
      <c r="B14" s="556"/>
      <c r="C14" s="556"/>
      <c r="D14" s="574"/>
      <c r="E14" s="574"/>
      <c r="F14" s="574"/>
      <c r="G14" s="575"/>
    </row>
    <row r="15" spans="1:7">
      <c r="B15" s="555" t="s">
        <v>1222</v>
      </c>
      <c r="C15" s="556"/>
      <c r="D15" s="557">
        <v>137392690.61000001</v>
      </c>
      <c r="E15" s="557"/>
      <c r="F15" s="557"/>
      <c r="G15" s="558"/>
    </row>
    <row r="16" spans="1:7">
      <c r="B16" s="555" t="s">
        <v>1223</v>
      </c>
      <c r="C16" s="556"/>
      <c r="D16" s="557">
        <v>143642569</v>
      </c>
      <c r="E16" s="557"/>
      <c r="F16" s="557"/>
      <c r="G16" s="558"/>
    </row>
    <row r="17" spans="1:9">
      <c r="B17" s="555" t="s">
        <v>1224</v>
      </c>
      <c r="C17" s="556"/>
      <c r="D17" s="557">
        <v>68392937.409999996</v>
      </c>
      <c r="E17" s="557"/>
      <c r="F17" s="557"/>
      <c r="G17" s="558"/>
    </row>
    <row r="18" spans="1:9">
      <c r="B18" s="555" t="s">
        <v>1225</v>
      </c>
      <c r="C18" s="556"/>
      <c r="D18" s="557">
        <v>62521743.789999999</v>
      </c>
      <c r="E18" s="557"/>
      <c r="F18" s="557"/>
      <c r="G18" s="558"/>
    </row>
    <row r="19" spans="1:9">
      <c r="B19" s="555" t="s">
        <v>1226</v>
      </c>
      <c r="C19" s="556"/>
      <c r="D19" s="557">
        <v>58396881.509999998</v>
      </c>
      <c r="E19" s="557"/>
      <c r="F19" s="557"/>
      <c r="G19" s="558"/>
    </row>
    <row r="20" spans="1:9" ht="15.75" thickBot="1">
      <c r="B20" s="555" t="s">
        <v>1227</v>
      </c>
      <c r="C20" s="556"/>
      <c r="D20" s="557">
        <v>7262248.4400000004</v>
      </c>
      <c r="E20" s="557"/>
      <c r="F20" s="557"/>
      <c r="G20" s="558"/>
    </row>
    <row r="21" spans="1:9" ht="15.75" thickBot="1">
      <c r="A21" s="410"/>
      <c r="B21" s="410"/>
      <c r="C21" s="410"/>
      <c r="D21" s="410"/>
      <c r="E21" s="410"/>
      <c r="F21" s="410"/>
      <c r="G21" s="410"/>
    </row>
    <row r="22" spans="1:9" ht="15.75" thickBot="1">
      <c r="A22" s="537" t="s">
        <v>1228</v>
      </c>
      <c r="B22" s="538"/>
      <c r="C22" s="538"/>
      <c r="D22" s="538" t="s">
        <v>1213</v>
      </c>
      <c r="E22" s="538"/>
      <c r="F22" s="538"/>
      <c r="G22" s="539"/>
    </row>
    <row r="23" spans="1:9">
      <c r="A23" s="411" t="s">
        <v>1224</v>
      </c>
      <c r="B23" s="412"/>
      <c r="C23" s="412"/>
      <c r="D23" s="565">
        <v>68392937.409999996</v>
      </c>
      <c r="E23" s="565"/>
      <c r="F23" s="565"/>
      <c r="G23" s="566"/>
    </row>
    <row r="24" spans="1:9" ht="15.75" thickBot="1">
      <c r="A24" s="555" t="s">
        <v>1225</v>
      </c>
      <c r="B24" s="556"/>
      <c r="C24" s="556"/>
      <c r="D24" s="557">
        <v>62521743.789999999</v>
      </c>
      <c r="E24" s="557"/>
      <c r="F24" s="557"/>
      <c r="G24" s="558"/>
    </row>
    <row r="25" spans="1:9" ht="15.75" thickBot="1">
      <c r="A25" s="410"/>
      <c r="B25" s="410"/>
      <c r="C25" s="410"/>
      <c r="D25" s="410"/>
      <c r="E25" s="410"/>
      <c r="F25" s="410"/>
      <c r="G25" s="410"/>
    </row>
    <row r="26" spans="1:9" ht="15.75" thickBot="1">
      <c r="A26" s="537" t="s">
        <v>1229</v>
      </c>
      <c r="B26" s="538"/>
      <c r="C26" s="538"/>
      <c r="D26" s="538" t="s">
        <v>1213</v>
      </c>
      <c r="E26" s="538"/>
      <c r="F26" s="538"/>
      <c r="G26" s="539"/>
    </row>
    <row r="27" spans="1:9" ht="15.75" thickBot="1">
      <c r="A27" s="551" t="s">
        <v>513</v>
      </c>
      <c r="B27" s="552"/>
      <c r="C27" s="552"/>
      <c r="D27" s="565">
        <f>103790631.47</f>
        <v>103790631.47</v>
      </c>
      <c r="E27" s="565"/>
      <c r="F27" s="565"/>
      <c r="G27" s="566"/>
    </row>
    <row r="28" spans="1:9" ht="15.75" thickBot="1">
      <c r="A28" s="551" t="s">
        <v>1230</v>
      </c>
      <c r="B28" s="552"/>
      <c r="C28" s="552"/>
      <c r="D28" s="565">
        <f>110065662.63+100000</f>
        <v>110165662.63</v>
      </c>
      <c r="E28" s="565"/>
      <c r="F28" s="565"/>
      <c r="G28" s="566"/>
      <c r="I28" s="431"/>
    </row>
    <row r="29" spans="1:9" ht="15.75" thickBot="1">
      <c r="A29" s="551" t="s">
        <v>1231</v>
      </c>
      <c r="B29" s="552"/>
      <c r="C29" s="552"/>
      <c r="D29" s="565">
        <f>110065662.63+100000</f>
        <v>110165662.63</v>
      </c>
      <c r="E29" s="565"/>
      <c r="F29" s="565"/>
      <c r="G29" s="566"/>
    </row>
    <row r="30" spans="1:9" ht="15.75" thickBot="1">
      <c r="A30" s="410"/>
      <c r="B30" s="410"/>
      <c r="C30" s="410"/>
      <c r="D30" s="410"/>
      <c r="E30" s="410"/>
      <c r="F30" s="410"/>
      <c r="G30" s="410"/>
    </row>
    <row r="31" spans="1:9" ht="15.75" thickBot="1">
      <c r="A31" s="537" t="s">
        <v>1232</v>
      </c>
      <c r="B31" s="538"/>
      <c r="C31" s="538"/>
      <c r="D31" s="538" t="s">
        <v>1213</v>
      </c>
      <c r="E31" s="538"/>
      <c r="F31" s="538"/>
      <c r="G31" s="539"/>
    </row>
    <row r="32" spans="1:9">
      <c r="A32" s="551" t="s">
        <v>1233</v>
      </c>
      <c r="B32" s="552"/>
      <c r="C32" s="552"/>
      <c r="D32" s="572"/>
      <c r="E32" s="572"/>
      <c r="F32" s="572"/>
      <c r="G32" s="573"/>
    </row>
    <row r="33" spans="1:7">
      <c r="B33" s="555" t="s">
        <v>1234</v>
      </c>
      <c r="C33" s="556"/>
      <c r="D33" s="557">
        <v>8071340.1699999999</v>
      </c>
      <c r="E33" s="557"/>
      <c r="F33" s="557"/>
      <c r="G33" s="558"/>
    </row>
    <row r="34" spans="1:7">
      <c r="B34" s="555" t="s">
        <v>1235</v>
      </c>
      <c r="C34" s="556"/>
      <c r="D34" s="557">
        <v>11148031.4</v>
      </c>
      <c r="E34" s="557"/>
      <c r="F34" s="557"/>
      <c r="G34" s="558"/>
    </row>
    <row r="35" spans="1:7">
      <c r="B35" s="555" t="s">
        <v>1236</v>
      </c>
      <c r="C35" s="556"/>
      <c r="D35" s="557">
        <v>11148031.4</v>
      </c>
      <c r="E35" s="557"/>
      <c r="F35" s="557"/>
      <c r="G35" s="558"/>
    </row>
    <row r="36" spans="1:7">
      <c r="B36" s="555" t="s">
        <v>1237</v>
      </c>
      <c r="C36" s="556"/>
      <c r="D36" s="557">
        <v>-3076691.23</v>
      </c>
      <c r="E36" s="557"/>
      <c r="F36" s="557"/>
      <c r="G36" s="558"/>
    </row>
    <row r="37" spans="1:7">
      <c r="A37" s="555" t="s">
        <v>1238</v>
      </c>
      <c r="B37" s="556"/>
      <c r="C37" s="556"/>
      <c r="D37" s="574"/>
      <c r="E37" s="574"/>
      <c r="F37" s="574"/>
      <c r="G37" s="575"/>
    </row>
    <row r="38" spans="1:7">
      <c r="B38" s="555" t="s">
        <v>1234</v>
      </c>
      <c r="C38" s="556"/>
      <c r="D38" s="557">
        <v>0</v>
      </c>
      <c r="E38" s="557"/>
      <c r="F38" s="557"/>
      <c r="G38" s="558"/>
    </row>
    <row r="39" spans="1:7">
      <c r="B39" s="555" t="s">
        <v>1235</v>
      </c>
      <c r="C39" s="556"/>
      <c r="D39" s="557">
        <v>0</v>
      </c>
      <c r="E39" s="557"/>
      <c r="F39" s="557"/>
      <c r="G39" s="558"/>
    </row>
    <row r="40" spans="1:7">
      <c r="B40" s="555" t="s">
        <v>1236</v>
      </c>
      <c r="C40" s="556"/>
      <c r="D40" s="557">
        <v>0</v>
      </c>
      <c r="E40" s="557"/>
      <c r="F40" s="557"/>
      <c r="G40" s="558"/>
    </row>
    <row r="41" spans="1:7" ht="15.75" thickBot="1">
      <c r="B41" s="555" t="s">
        <v>1237</v>
      </c>
      <c r="C41" s="556"/>
      <c r="D41" s="557">
        <v>0</v>
      </c>
      <c r="E41" s="557"/>
      <c r="F41" s="557"/>
      <c r="G41" s="558"/>
    </row>
    <row r="42" spans="1:7" ht="15.75" thickBot="1">
      <c r="A42" s="410"/>
      <c r="B42" s="410"/>
      <c r="C42" s="410"/>
      <c r="D42" s="410"/>
      <c r="E42" s="410"/>
      <c r="F42" s="410"/>
      <c r="G42" s="410"/>
    </row>
    <row r="43" spans="1:7">
      <c r="A43" s="560" t="s">
        <v>1239</v>
      </c>
      <c r="B43" s="576"/>
      <c r="C43" s="576"/>
      <c r="D43" s="413" t="s">
        <v>1240</v>
      </c>
      <c r="E43" s="413" t="s">
        <v>1241</v>
      </c>
      <c r="F43" s="538" t="s">
        <v>1242</v>
      </c>
      <c r="G43" s="539"/>
    </row>
    <row r="44" spans="1:7">
      <c r="A44" s="546"/>
      <c r="B44" s="579"/>
      <c r="C44" s="579"/>
      <c r="D44" s="414" t="s">
        <v>1243</v>
      </c>
      <c r="E44" s="414" t="s">
        <v>1244</v>
      </c>
      <c r="F44" s="548"/>
      <c r="G44" s="549"/>
    </row>
    <row r="45" spans="1:7">
      <c r="A45" s="546"/>
      <c r="B45" s="579"/>
      <c r="C45" s="579"/>
      <c r="D45" s="414" t="s">
        <v>1245</v>
      </c>
      <c r="E45" s="414"/>
      <c r="F45" s="548"/>
      <c r="G45" s="549"/>
    </row>
    <row r="46" spans="1:7" ht="15.75" thickBot="1">
      <c r="A46" s="546"/>
      <c r="B46" s="579"/>
      <c r="C46" s="579"/>
      <c r="D46" s="414" t="s">
        <v>1246</v>
      </c>
      <c r="E46" s="414" t="s">
        <v>1247</v>
      </c>
      <c r="F46" s="548" t="s">
        <v>1248</v>
      </c>
      <c r="G46" s="549"/>
    </row>
    <row r="47" spans="1:7">
      <c r="A47" s="551" t="s">
        <v>1249</v>
      </c>
      <c r="B47" s="552"/>
      <c r="C47" s="552"/>
      <c r="D47" s="415">
        <v>0</v>
      </c>
      <c r="E47" s="415">
        <v>4386316.8</v>
      </c>
      <c r="F47" s="572"/>
      <c r="G47" s="573"/>
    </row>
    <row r="48" spans="1:7" ht="15.75" thickBot="1">
      <c r="A48" s="555" t="s">
        <v>1250</v>
      </c>
      <c r="B48" s="556"/>
      <c r="C48" s="556"/>
      <c r="D48" s="416">
        <v>0</v>
      </c>
      <c r="E48" s="416">
        <v>4858152.4000000004</v>
      </c>
      <c r="F48" s="574"/>
      <c r="G48" s="575"/>
    </row>
    <row r="49" spans="1:7" ht="15.75" thickBot="1">
      <c r="A49" s="410"/>
      <c r="B49" s="410"/>
      <c r="C49" s="410"/>
      <c r="D49" s="410"/>
      <c r="E49" s="410"/>
      <c r="F49" s="410"/>
      <c r="G49" s="410"/>
    </row>
    <row r="50" spans="1:7">
      <c r="A50" s="560" t="s">
        <v>1251</v>
      </c>
      <c r="B50" s="576"/>
      <c r="C50" s="576"/>
      <c r="D50" s="413" t="s">
        <v>1252</v>
      </c>
      <c r="E50" s="413" t="s">
        <v>1253</v>
      </c>
      <c r="F50" s="413" t="s">
        <v>1254</v>
      </c>
      <c r="G50" s="417" t="s">
        <v>1255</v>
      </c>
    </row>
    <row r="51" spans="1:7" ht="15.75" thickBot="1">
      <c r="A51" s="577"/>
      <c r="B51" s="578"/>
      <c r="C51" s="579"/>
      <c r="D51" s="414"/>
      <c r="E51" s="414" t="s">
        <v>1213</v>
      </c>
      <c r="F51" s="414" t="s">
        <v>1213</v>
      </c>
      <c r="G51" s="418" t="s">
        <v>289</v>
      </c>
    </row>
    <row r="52" spans="1:7">
      <c r="B52" s="550" t="s">
        <v>1256</v>
      </c>
      <c r="C52" s="551"/>
      <c r="D52" s="415">
        <v>26684024.18</v>
      </c>
      <c r="E52" s="415">
        <v>6449.51</v>
      </c>
      <c r="F52" s="415">
        <v>5667324.25</v>
      </c>
      <c r="G52" s="419">
        <v>21010250.420000002</v>
      </c>
    </row>
    <row r="53" spans="1:7">
      <c r="C53" s="420" t="s">
        <v>1257</v>
      </c>
      <c r="D53" s="416">
        <v>26681873.27</v>
      </c>
      <c r="E53" s="416">
        <v>6449.51</v>
      </c>
      <c r="F53" s="416">
        <v>5665173.3399999999</v>
      </c>
      <c r="G53" s="421">
        <v>21010250.420000002</v>
      </c>
    </row>
    <row r="54" spans="1:7">
      <c r="C54" s="420" t="s">
        <v>1258</v>
      </c>
      <c r="D54" s="416">
        <v>2150.91</v>
      </c>
      <c r="E54" s="416">
        <v>0</v>
      </c>
      <c r="F54" s="416">
        <v>2150.91</v>
      </c>
      <c r="G54" s="421">
        <v>0</v>
      </c>
    </row>
    <row r="55" spans="1:7">
      <c r="B55" s="567" t="s">
        <v>1259</v>
      </c>
      <c r="C55" s="555"/>
      <c r="D55" s="416">
        <v>2756615.15</v>
      </c>
      <c r="E55" s="416">
        <v>3746.79</v>
      </c>
      <c r="F55" s="416">
        <v>1023275.12</v>
      </c>
      <c r="G55" s="421">
        <v>1729593.24</v>
      </c>
    </row>
    <row r="56" spans="1:7">
      <c r="C56" s="420" t="s">
        <v>1257</v>
      </c>
      <c r="D56" s="416">
        <v>2756615.15</v>
      </c>
      <c r="E56" s="416">
        <v>3746.79</v>
      </c>
      <c r="F56" s="416">
        <v>1023275.12</v>
      </c>
      <c r="G56" s="421">
        <v>1729593.24</v>
      </c>
    </row>
    <row r="57" spans="1:7" ht="15.75" thickBot="1">
      <c r="C57" s="420" t="s">
        <v>1258</v>
      </c>
      <c r="D57" s="416">
        <v>0</v>
      </c>
      <c r="E57" s="416">
        <v>0</v>
      </c>
      <c r="F57" s="416">
        <v>0</v>
      </c>
      <c r="G57" s="421">
        <v>0</v>
      </c>
    </row>
    <row r="58" spans="1:7" ht="15.75" thickBot="1">
      <c r="A58" s="540" t="s">
        <v>312</v>
      </c>
      <c r="B58" s="541"/>
      <c r="C58" s="541"/>
      <c r="D58" s="422">
        <v>29440639.329999998</v>
      </c>
      <c r="E58" s="422">
        <v>10196.299999999999</v>
      </c>
      <c r="F58" s="422">
        <v>6690599.3700000001</v>
      </c>
      <c r="G58" s="423">
        <v>22739843.66</v>
      </c>
    </row>
    <row r="60" spans="1:7" ht="15.75" thickBot="1">
      <c r="A60" s="568"/>
      <c r="B60" s="568"/>
      <c r="C60" s="564"/>
      <c r="D60" s="414"/>
      <c r="E60" s="569" t="s">
        <v>1260</v>
      </c>
      <c r="F60" s="569"/>
      <c r="G60" s="570"/>
    </row>
    <row r="61" spans="1:7">
      <c r="A61" s="568" t="s">
        <v>1261</v>
      </c>
      <c r="B61" s="568"/>
      <c r="C61" s="564"/>
      <c r="D61" s="414" t="s">
        <v>1262</v>
      </c>
      <c r="E61" s="414" t="s">
        <v>1263</v>
      </c>
      <c r="F61" s="539" t="s">
        <v>1264</v>
      </c>
      <c r="G61" s="571"/>
    </row>
    <row r="62" spans="1:7" ht="15.75" thickBot="1">
      <c r="A62" s="563"/>
      <c r="B62" s="563"/>
      <c r="C62" s="564"/>
      <c r="D62" s="414" t="s">
        <v>1244</v>
      </c>
      <c r="E62" s="414" t="s">
        <v>1265</v>
      </c>
      <c r="F62" s="549" t="s">
        <v>1266</v>
      </c>
      <c r="G62" s="563"/>
    </row>
    <row r="63" spans="1:7">
      <c r="A63" s="551" t="s">
        <v>1267</v>
      </c>
      <c r="B63" s="552"/>
      <c r="C63" s="552"/>
      <c r="D63" s="415">
        <f>6302879.71</f>
        <v>6302879.71</v>
      </c>
      <c r="E63" s="424">
        <v>0.25</v>
      </c>
      <c r="F63" s="565">
        <v>16.23</v>
      </c>
      <c r="G63" s="566"/>
    </row>
    <row r="64" spans="1:7">
      <c r="A64" s="555" t="s">
        <v>1268</v>
      </c>
      <c r="B64" s="556"/>
      <c r="C64" s="556"/>
      <c r="D64" s="416">
        <v>0</v>
      </c>
      <c r="E64" s="425">
        <v>0.7</v>
      </c>
      <c r="F64" s="557">
        <v>0</v>
      </c>
      <c r="G64" s="558"/>
    </row>
    <row r="65" spans="1:7">
      <c r="A65" s="555" t="s">
        <v>1269</v>
      </c>
      <c r="B65" s="556"/>
      <c r="C65" s="556"/>
      <c r="D65" s="416">
        <v>0</v>
      </c>
      <c r="E65" s="425">
        <v>0.5</v>
      </c>
      <c r="F65" s="557">
        <v>0</v>
      </c>
      <c r="G65" s="558"/>
    </row>
    <row r="66" spans="1:7" ht="15.75" thickBot="1">
      <c r="A66" s="555" t="s">
        <v>1270</v>
      </c>
      <c r="B66" s="556"/>
      <c r="C66" s="556"/>
      <c r="D66" s="416">
        <v>0</v>
      </c>
      <c r="E66" s="425">
        <v>0.15</v>
      </c>
      <c r="F66" s="557">
        <v>0</v>
      </c>
      <c r="G66" s="558"/>
    </row>
    <row r="67" spans="1:7" ht="15.75" thickBot="1">
      <c r="A67" s="410"/>
      <c r="B67" s="410"/>
      <c r="C67" s="410"/>
      <c r="D67" s="410"/>
      <c r="E67" s="410"/>
      <c r="F67" s="410"/>
      <c r="G67" s="410"/>
    </row>
    <row r="68" spans="1:7" ht="15.75" thickBot="1">
      <c r="A68" s="559"/>
      <c r="B68" s="559"/>
      <c r="C68" s="560"/>
      <c r="D68" s="413" t="s">
        <v>1262</v>
      </c>
      <c r="E68" s="561" t="s">
        <v>1271</v>
      </c>
      <c r="F68" s="561"/>
      <c r="G68" s="562"/>
    </row>
    <row r="69" spans="1:7">
      <c r="A69" s="545" t="s">
        <v>1272</v>
      </c>
      <c r="B69" s="545"/>
      <c r="C69" s="546"/>
      <c r="D69" s="414" t="s">
        <v>1244</v>
      </c>
      <c r="E69" s="414" t="s">
        <v>1263</v>
      </c>
      <c r="F69" s="538" t="s">
        <v>1273</v>
      </c>
      <c r="G69" s="539"/>
    </row>
    <row r="70" spans="1:7" ht="15.75" thickBot="1">
      <c r="A70" s="547"/>
      <c r="B70" s="545"/>
      <c r="C70" s="546"/>
      <c r="D70" s="414"/>
      <c r="E70" s="414" t="s">
        <v>1274</v>
      </c>
      <c r="F70" s="548"/>
      <c r="G70" s="549"/>
    </row>
    <row r="71" spans="1:7" ht="15.75" thickBot="1">
      <c r="A71" s="550" t="s">
        <v>1275</v>
      </c>
      <c r="B71" s="551"/>
      <c r="C71" s="552"/>
      <c r="D71" s="415">
        <f>8228214.15</f>
        <v>8228214.1500000004</v>
      </c>
      <c r="E71" s="424">
        <v>0.15</v>
      </c>
      <c r="F71" s="553">
        <v>21.18</v>
      </c>
      <c r="G71" s="554"/>
    </row>
    <row r="72" spans="1:7" ht="15.75" thickBot="1">
      <c r="A72" s="410"/>
      <c r="B72" s="410"/>
      <c r="C72" s="410"/>
      <c r="D72" s="410"/>
      <c r="E72" s="410"/>
      <c r="F72" s="410"/>
      <c r="G72" s="410"/>
    </row>
    <row r="73" spans="1:7" ht="15.75" thickBot="1">
      <c r="A73" s="537" t="s">
        <v>1276</v>
      </c>
      <c r="B73" s="538"/>
      <c r="C73" s="538"/>
      <c r="D73" s="538" t="s">
        <v>1277</v>
      </c>
      <c r="E73" s="538"/>
      <c r="F73" s="538"/>
      <c r="G73" s="539"/>
    </row>
    <row r="74" spans="1:7" ht="15.75" thickBot="1">
      <c r="A74" s="540" t="s">
        <v>1278</v>
      </c>
      <c r="B74" s="541"/>
      <c r="C74" s="541"/>
      <c r="D74" s="542">
        <v>0</v>
      </c>
      <c r="E74" s="542"/>
      <c r="F74" s="542"/>
      <c r="G74" s="543"/>
    </row>
    <row r="75" spans="1:7">
      <c r="A75" s="544" t="s">
        <v>1279</v>
      </c>
      <c r="B75" s="544"/>
      <c r="C75" s="544"/>
      <c r="D75" s="544"/>
      <c r="E75" s="544"/>
      <c r="F75" s="544"/>
      <c r="G75" s="544"/>
    </row>
    <row r="81" spans="3:9">
      <c r="C81" s="221" t="s">
        <v>109</v>
      </c>
      <c r="D81" s="60" t="s">
        <v>110</v>
      </c>
      <c r="E81" s="60"/>
      <c r="G81" s="187" t="s">
        <v>111</v>
      </c>
      <c r="I81" s="60"/>
    </row>
    <row r="82" spans="3:9">
      <c r="C82" s="221" t="s">
        <v>112</v>
      </c>
      <c r="D82" s="60" t="s">
        <v>113</v>
      </c>
      <c r="E82" s="60"/>
      <c r="F82" s="60" t="s">
        <v>114</v>
      </c>
      <c r="I82" s="60"/>
    </row>
    <row r="65536" spans="256:256" ht="15" customHeight="1">
      <c r="IV65536" s="426"/>
    </row>
  </sheetData>
  <mergeCells count="111"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B41:C41"/>
    <mergeCell ref="D41:G41"/>
    <mergeCell ref="A43:C46"/>
    <mergeCell ref="F43:G43"/>
    <mergeCell ref="F44:G44"/>
    <mergeCell ref="F45:G45"/>
    <mergeCell ref="F46:G46"/>
    <mergeCell ref="B38:C38"/>
    <mergeCell ref="D38:G38"/>
    <mergeCell ref="B39:C39"/>
    <mergeCell ref="D39:G39"/>
    <mergeCell ref="B40:C40"/>
    <mergeCell ref="D40:G40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A65:C65"/>
    <mergeCell ref="F65:G65"/>
    <mergeCell ref="A66:C66"/>
    <mergeCell ref="F66:G66"/>
    <mergeCell ref="A68:C68"/>
    <mergeCell ref="E68:G68"/>
    <mergeCell ref="A62:C62"/>
    <mergeCell ref="F62:G62"/>
    <mergeCell ref="A63:C63"/>
    <mergeCell ref="F63:G63"/>
    <mergeCell ref="A64:C64"/>
    <mergeCell ref="F64:G64"/>
    <mergeCell ref="A73:C73"/>
    <mergeCell ref="D73:G73"/>
    <mergeCell ref="A74:C74"/>
    <mergeCell ref="D74:G74"/>
    <mergeCell ref="A75:G75"/>
    <mergeCell ref="A69:C69"/>
    <mergeCell ref="F69:G69"/>
    <mergeCell ref="A70:C70"/>
    <mergeCell ref="F70:G70"/>
    <mergeCell ref="A71:C71"/>
    <mergeCell ref="F71:G7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6"/>
  <sheetViews>
    <sheetView workbookViewId="0">
      <selection activeCell="A4" sqref="A4:B4"/>
    </sheetView>
  </sheetViews>
  <sheetFormatPr defaultRowHeight="15"/>
  <cols>
    <col min="1" max="1" width="36.28515625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3" customWidth="1"/>
    <col min="9" max="9" width="5.140625" customWidth="1"/>
    <col min="10" max="10" width="5" customWidth="1"/>
    <col min="11" max="11" width="9.140625" customWidth="1"/>
    <col min="12" max="12" width="1" customWidth="1"/>
    <col min="13" max="13" width="10.140625" customWidth="1"/>
    <col min="14" max="14" width="10" customWidth="1"/>
    <col min="15" max="15" width="10.140625" customWidth="1"/>
    <col min="16" max="16" width="1" customWidth="1"/>
    <col min="17" max="17" width="11.140625" customWidth="1"/>
    <col min="18" max="18" width="0.5703125" customWidth="1"/>
  </cols>
  <sheetData>
    <row r="1" spans="1:17" ht="11.85" customHeight="1">
      <c r="A1" s="615" t="s">
        <v>1332</v>
      </c>
      <c r="B1" s="615"/>
      <c r="Q1" s="448" t="s">
        <v>1333</v>
      </c>
    </row>
    <row r="2" spans="1:17" ht="11.1" customHeight="1">
      <c r="A2" s="615" t="s">
        <v>1206</v>
      </c>
      <c r="B2" s="615"/>
    </row>
    <row r="3" spans="1:17" ht="11.85" customHeight="1">
      <c r="A3" s="619" t="s">
        <v>1334</v>
      </c>
      <c r="B3" s="619"/>
    </row>
    <row r="4" spans="1:17" ht="11.85" customHeight="1">
      <c r="A4" s="615" t="s">
        <v>1335</v>
      </c>
      <c r="B4" s="615"/>
    </row>
    <row r="5" spans="1:17" ht="11.85" customHeight="1">
      <c r="A5" s="615" t="s">
        <v>1209</v>
      </c>
      <c r="B5" s="615"/>
    </row>
    <row r="6" spans="1:17" ht="5.85" customHeight="1"/>
    <row r="7" spans="1:17" ht="11.1" customHeight="1">
      <c r="A7" s="616" t="s">
        <v>1336</v>
      </c>
      <c r="B7" s="616"/>
      <c r="C7" s="616"/>
      <c r="D7" s="616"/>
      <c r="E7" s="616"/>
      <c r="F7" s="616"/>
      <c r="G7" s="616"/>
      <c r="H7" s="449"/>
      <c r="I7" s="449"/>
      <c r="J7" s="449"/>
      <c r="K7" s="449"/>
      <c r="L7" s="449"/>
      <c r="O7" s="617" t="s">
        <v>1305</v>
      </c>
      <c r="P7" s="617"/>
      <c r="Q7" s="617"/>
    </row>
    <row r="8" spans="1:17" ht="11.85" customHeight="1">
      <c r="A8" s="609" t="s">
        <v>1214</v>
      </c>
      <c r="B8" s="597" t="s">
        <v>1337</v>
      </c>
      <c r="C8" s="599"/>
      <c r="D8" s="597" t="s">
        <v>1338</v>
      </c>
      <c r="E8" s="611" t="s">
        <v>1339</v>
      </c>
      <c r="F8" s="612"/>
      <c r="G8" s="612"/>
      <c r="H8" s="612"/>
      <c r="I8" s="612"/>
      <c r="J8" s="613"/>
      <c r="K8" s="597" t="s">
        <v>1340</v>
      </c>
      <c r="L8" s="599"/>
      <c r="M8" s="450"/>
    </row>
    <row r="9" spans="1:17" ht="17.850000000000001" customHeight="1">
      <c r="A9" s="610"/>
      <c r="B9" s="600"/>
      <c r="C9" s="601"/>
      <c r="D9" s="598"/>
      <c r="E9" s="451" t="s">
        <v>1341</v>
      </c>
      <c r="F9" s="451" t="s">
        <v>1342</v>
      </c>
      <c r="G9" s="597" t="s">
        <v>1343</v>
      </c>
      <c r="H9" s="602"/>
      <c r="I9" s="603"/>
      <c r="J9" s="451" t="s">
        <v>1344</v>
      </c>
      <c r="K9" s="600"/>
      <c r="L9" s="601"/>
      <c r="M9" s="450"/>
    </row>
    <row r="10" spans="1:17" ht="11.1" customHeight="1">
      <c r="A10" s="452" t="s">
        <v>1345</v>
      </c>
      <c r="B10" s="604" t="s">
        <v>1346</v>
      </c>
      <c r="C10" s="605"/>
      <c r="D10" s="453" t="s">
        <v>1347</v>
      </c>
      <c r="E10" s="453" t="s">
        <v>1348</v>
      </c>
      <c r="F10" s="453" t="s">
        <v>1349</v>
      </c>
      <c r="G10" s="606" t="s">
        <v>1350</v>
      </c>
      <c r="H10" s="607"/>
      <c r="I10" s="608"/>
      <c r="J10" s="453" t="s">
        <v>1351</v>
      </c>
      <c r="K10" s="606" t="s">
        <v>1352</v>
      </c>
      <c r="L10" s="608"/>
      <c r="M10" s="450"/>
    </row>
    <row r="11" spans="1:17" ht="11.85" customHeight="1">
      <c r="A11" s="454" t="s">
        <v>3</v>
      </c>
      <c r="B11" s="587" t="s">
        <v>1353</v>
      </c>
      <c r="C11" s="588"/>
      <c r="D11" s="455" t="s">
        <v>1354</v>
      </c>
      <c r="E11" s="455" t="s">
        <v>1355</v>
      </c>
      <c r="F11" s="455" t="s">
        <v>1356</v>
      </c>
      <c r="G11" s="589" t="s">
        <v>1357</v>
      </c>
      <c r="H11" s="590"/>
      <c r="I11" s="591"/>
      <c r="J11" s="455" t="s">
        <v>1358</v>
      </c>
      <c r="K11" s="589" t="s">
        <v>1359</v>
      </c>
      <c r="L11" s="591"/>
      <c r="M11" s="450"/>
    </row>
    <row r="12" spans="1:17" ht="11.85" customHeight="1">
      <c r="A12" s="454" t="s">
        <v>1360</v>
      </c>
      <c r="B12" s="587" t="s">
        <v>1361</v>
      </c>
      <c r="C12" s="588"/>
      <c r="D12" s="455" t="s">
        <v>1361</v>
      </c>
      <c r="E12" s="455" t="s">
        <v>1362</v>
      </c>
      <c r="F12" s="455" t="s">
        <v>1363</v>
      </c>
      <c r="G12" s="589" t="s">
        <v>1364</v>
      </c>
      <c r="H12" s="590"/>
      <c r="I12" s="591"/>
      <c r="J12" s="455" t="s">
        <v>1365</v>
      </c>
      <c r="K12" s="589" t="s">
        <v>1366</v>
      </c>
      <c r="L12" s="591"/>
      <c r="M12" s="450"/>
    </row>
    <row r="13" spans="1:17" ht="11.85" customHeight="1">
      <c r="A13" s="454" t="s">
        <v>1367</v>
      </c>
      <c r="B13" s="587" t="s">
        <v>1368</v>
      </c>
      <c r="C13" s="588"/>
      <c r="D13" s="455" t="s">
        <v>1368</v>
      </c>
      <c r="E13" s="455" t="s">
        <v>1369</v>
      </c>
      <c r="F13" s="455" t="s">
        <v>1370</v>
      </c>
      <c r="G13" s="589" t="s">
        <v>1371</v>
      </c>
      <c r="H13" s="590"/>
      <c r="I13" s="591"/>
      <c r="J13" s="455" t="s">
        <v>1372</v>
      </c>
      <c r="K13" s="589" t="s">
        <v>1373</v>
      </c>
      <c r="L13" s="591"/>
      <c r="M13" s="450"/>
    </row>
    <row r="14" spans="1:17" ht="11.1" customHeight="1">
      <c r="A14" s="454" t="s">
        <v>1374</v>
      </c>
      <c r="B14" s="587" t="s">
        <v>1375</v>
      </c>
      <c r="C14" s="588"/>
      <c r="D14" s="455" t="s">
        <v>1375</v>
      </c>
      <c r="E14" s="455" t="s">
        <v>1376</v>
      </c>
      <c r="F14" s="455" t="s">
        <v>1377</v>
      </c>
      <c r="G14" s="589" t="s">
        <v>1378</v>
      </c>
      <c r="H14" s="590"/>
      <c r="I14" s="591"/>
      <c r="J14" s="455" t="s">
        <v>1379</v>
      </c>
      <c r="K14" s="589" t="s">
        <v>1380</v>
      </c>
      <c r="L14" s="591"/>
      <c r="M14" s="450"/>
    </row>
    <row r="15" spans="1:17" ht="11.85" customHeight="1">
      <c r="A15" s="454" t="s">
        <v>1381</v>
      </c>
      <c r="B15" s="587" t="s">
        <v>1382</v>
      </c>
      <c r="C15" s="588"/>
      <c r="D15" s="455" t="s">
        <v>1382</v>
      </c>
      <c r="E15" s="455" t="s">
        <v>1383</v>
      </c>
      <c r="F15" s="455" t="s">
        <v>1219</v>
      </c>
      <c r="G15" s="589" t="s">
        <v>1384</v>
      </c>
      <c r="H15" s="590"/>
      <c r="I15" s="591"/>
      <c r="J15" s="455" t="s">
        <v>1219</v>
      </c>
      <c r="K15" s="589" t="s">
        <v>1385</v>
      </c>
      <c r="L15" s="591"/>
      <c r="M15" s="450"/>
    </row>
    <row r="16" spans="1:17" ht="11.85" customHeight="1">
      <c r="A16" s="454" t="s">
        <v>1386</v>
      </c>
      <c r="B16" s="587" t="s">
        <v>1387</v>
      </c>
      <c r="C16" s="588"/>
      <c r="D16" s="455" t="s">
        <v>1387</v>
      </c>
      <c r="E16" s="455" t="s">
        <v>1388</v>
      </c>
      <c r="F16" s="455" t="s">
        <v>1389</v>
      </c>
      <c r="G16" s="589" t="s">
        <v>1390</v>
      </c>
      <c r="H16" s="590"/>
      <c r="I16" s="591"/>
      <c r="J16" s="455" t="s">
        <v>1391</v>
      </c>
      <c r="K16" s="589" t="s">
        <v>1392</v>
      </c>
      <c r="L16" s="591"/>
      <c r="M16" s="450"/>
    </row>
    <row r="17" spans="1:13" ht="11.85" customHeight="1">
      <c r="A17" s="454" t="s">
        <v>1393</v>
      </c>
      <c r="B17" s="587" t="s">
        <v>1394</v>
      </c>
      <c r="C17" s="588"/>
      <c r="D17" s="455" t="s">
        <v>1394</v>
      </c>
      <c r="E17" s="455" t="s">
        <v>1395</v>
      </c>
      <c r="F17" s="455" t="s">
        <v>1396</v>
      </c>
      <c r="G17" s="589" t="s">
        <v>1397</v>
      </c>
      <c r="H17" s="590"/>
      <c r="I17" s="591"/>
      <c r="J17" s="455" t="s">
        <v>1398</v>
      </c>
      <c r="K17" s="589" t="s">
        <v>1399</v>
      </c>
      <c r="L17" s="591"/>
      <c r="M17" s="450"/>
    </row>
    <row r="18" spans="1:13" ht="11.1" customHeight="1">
      <c r="A18" s="454" t="s">
        <v>1400</v>
      </c>
      <c r="B18" s="587" t="s">
        <v>1401</v>
      </c>
      <c r="C18" s="588"/>
      <c r="D18" s="455" t="s">
        <v>1401</v>
      </c>
      <c r="E18" s="455" t="s">
        <v>1402</v>
      </c>
      <c r="F18" s="455" t="s">
        <v>1403</v>
      </c>
      <c r="G18" s="589" t="s">
        <v>1404</v>
      </c>
      <c r="H18" s="590"/>
      <c r="I18" s="591"/>
      <c r="J18" s="455" t="s">
        <v>1405</v>
      </c>
      <c r="K18" s="589" t="s">
        <v>1406</v>
      </c>
      <c r="L18" s="591"/>
      <c r="M18" s="450"/>
    </row>
    <row r="19" spans="1:13" ht="11.85" customHeight="1">
      <c r="A19" s="454" t="s">
        <v>1407</v>
      </c>
      <c r="B19" s="587" t="s">
        <v>1408</v>
      </c>
      <c r="C19" s="588"/>
      <c r="D19" s="455" t="s">
        <v>1408</v>
      </c>
      <c r="E19" s="455" t="s">
        <v>1409</v>
      </c>
      <c r="F19" s="455" t="s">
        <v>1410</v>
      </c>
      <c r="G19" s="589" t="s">
        <v>1411</v>
      </c>
      <c r="H19" s="590"/>
      <c r="I19" s="591"/>
      <c r="J19" s="455" t="s">
        <v>1412</v>
      </c>
      <c r="K19" s="589" t="s">
        <v>1413</v>
      </c>
      <c r="L19" s="591"/>
      <c r="M19" s="450"/>
    </row>
    <row r="20" spans="1:13" ht="11.85" customHeight="1">
      <c r="A20" s="454" t="s">
        <v>1414</v>
      </c>
      <c r="B20" s="587" t="s">
        <v>1415</v>
      </c>
      <c r="C20" s="588"/>
      <c r="D20" s="455" t="s">
        <v>1415</v>
      </c>
      <c r="E20" s="455" t="s">
        <v>1416</v>
      </c>
      <c r="F20" s="455" t="s">
        <v>1417</v>
      </c>
      <c r="G20" s="589" t="s">
        <v>1418</v>
      </c>
      <c r="H20" s="590"/>
      <c r="I20" s="591"/>
      <c r="J20" s="455" t="s">
        <v>1419</v>
      </c>
      <c r="K20" s="589" t="s">
        <v>1420</v>
      </c>
      <c r="L20" s="591"/>
      <c r="M20" s="450"/>
    </row>
    <row r="21" spans="1:13" ht="11.85" customHeight="1">
      <c r="A21" s="454" t="s">
        <v>1421</v>
      </c>
      <c r="B21" s="587" t="s">
        <v>1422</v>
      </c>
      <c r="C21" s="588"/>
      <c r="D21" s="455" t="s">
        <v>1422</v>
      </c>
      <c r="E21" s="455" t="s">
        <v>1423</v>
      </c>
      <c r="F21" s="455" t="s">
        <v>1424</v>
      </c>
      <c r="G21" s="589" t="s">
        <v>1425</v>
      </c>
      <c r="H21" s="590"/>
      <c r="I21" s="591"/>
      <c r="J21" s="455" t="s">
        <v>1426</v>
      </c>
      <c r="K21" s="589" t="s">
        <v>1427</v>
      </c>
      <c r="L21" s="591"/>
      <c r="M21" s="450"/>
    </row>
    <row r="22" spans="1:13" ht="11.1" customHeight="1">
      <c r="A22" s="454" t="s">
        <v>1428</v>
      </c>
      <c r="B22" s="587" t="s">
        <v>1429</v>
      </c>
      <c r="C22" s="588"/>
      <c r="D22" s="455" t="s">
        <v>1429</v>
      </c>
      <c r="E22" s="455" t="s">
        <v>1430</v>
      </c>
      <c r="F22" s="455" t="s">
        <v>1431</v>
      </c>
      <c r="G22" s="589" t="s">
        <v>1432</v>
      </c>
      <c r="H22" s="590"/>
      <c r="I22" s="591"/>
      <c r="J22" s="455" t="s">
        <v>1433</v>
      </c>
      <c r="K22" s="589" t="s">
        <v>1434</v>
      </c>
      <c r="L22" s="591"/>
      <c r="M22" s="450"/>
    </row>
    <row r="23" spans="1:13" ht="11.85" customHeight="1">
      <c r="A23" s="454" t="s">
        <v>1435</v>
      </c>
      <c r="B23" s="587" t="s">
        <v>1436</v>
      </c>
      <c r="C23" s="588"/>
      <c r="D23" s="455" t="s">
        <v>1436</v>
      </c>
      <c r="E23" s="455" t="s">
        <v>1437</v>
      </c>
      <c r="F23" s="455" t="s">
        <v>1438</v>
      </c>
      <c r="G23" s="589" t="s">
        <v>1439</v>
      </c>
      <c r="H23" s="590"/>
      <c r="I23" s="591"/>
      <c r="J23" s="455" t="s">
        <v>1440</v>
      </c>
      <c r="K23" s="589" t="s">
        <v>1441</v>
      </c>
      <c r="L23" s="591"/>
      <c r="M23" s="450"/>
    </row>
    <row r="24" spans="1:13" ht="11.85" customHeight="1">
      <c r="A24" s="454" t="s">
        <v>1442</v>
      </c>
      <c r="B24" s="587" t="s">
        <v>1436</v>
      </c>
      <c r="C24" s="588"/>
      <c r="D24" s="455" t="s">
        <v>1436</v>
      </c>
      <c r="E24" s="455" t="s">
        <v>1437</v>
      </c>
      <c r="F24" s="455" t="s">
        <v>1438</v>
      </c>
      <c r="G24" s="589" t="s">
        <v>1439</v>
      </c>
      <c r="H24" s="590"/>
      <c r="I24" s="591"/>
      <c r="J24" s="455" t="s">
        <v>1440</v>
      </c>
      <c r="K24" s="589" t="s">
        <v>1441</v>
      </c>
      <c r="L24" s="591"/>
      <c r="M24" s="450"/>
    </row>
    <row r="25" spans="1:13" ht="11.85" customHeight="1">
      <c r="A25" s="454" t="s">
        <v>1443</v>
      </c>
      <c r="B25" s="587" t="s">
        <v>1444</v>
      </c>
      <c r="C25" s="588"/>
      <c r="D25" s="455" t="s">
        <v>1445</v>
      </c>
      <c r="E25" s="455" t="s">
        <v>1446</v>
      </c>
      <c r="F25" s="455" t="s">
        <v>1447</v>
      </c>
      <c r="G25" s="589" t="s">
        <v>1448</v>
      </c>
      <c r="H25" s="590"/>
      <c r="I25" s="591"/>
      <c r="J25" s="455" t="s">
        <v>1449</v>
      </c>
      <c r="K25" s="589" t="s">
        <v>1450</v>
      </c>
      <c r="L25" s="591"/>
      <c r="M25" s="450"/>
    </row>
    <row r="26" spans="1:13" ht="11.1" customHeight="1">
      <c r="A26" s="454" t="s">
        <v>1451</v>
      </c>
      <c r="B26" s="587" t="s">
        <v>1452</v>
      </c>
      <c r="C26" s="588"/>
      <c r="D26" s="455" t="s">
        <v>1452</v>
      </c>
      <c r="E26" s="455" t="s">
        <v>1453</v>
      </c>
      <c r="F26" s="455" t="s">
        <v>1454</v>
      </c>
      <c r="G26" s="589" t="s">
        <v>1455</v>
      </c>
      <c r="H26" s="590"/>
      <c r="I26" s="591"/>
      <c r="J26" s="455" t="s">
        <v>1456</v>
      </c>
      <c r="K26" s="589" t="s">
        <v>1457</v>
      </c>
      <c r="L26" s="591"/>
      <c r="M26" s="450"/>
    </row>
    <row r="27" spans="1:13" ht="11.85" customHeight="1">
      <c r="A27" s="454" t="s">
        <v>1458</v>
      </c>
      <c r="B27" s="587" t="s">
        <v>1459</v>
      </c>
      <c r="C27" s="588"/>
      <c r="D27" s="455" t="s">
        <v>1459</v>
      </c>
      <c r="E27" s="455" t="s">
        <v>1460</v>
      </c>
      <c r="F27" s="455" t="s">
        <v>1461</v>
      </c>
      <c r="G27" s="589" t="s">
        <v>1462</v>
      </c>
      <c r="H27" s="590"/>
      <c r="I27" s="591"/>
      <c r="J27" s="455" t="s">
        <v>1463</v>
      </c>
      <c r="K27" s="589" t="s">
        <v>1464</v>
      </c>
      <c r="L27" s="591"/>
      <c r="M27" s="450"/>
    </row>
    <row r="28" spans="1:13" ht="11.85" customHeight="1">
      <c r="A28" s="454" t="s">
        <v>1465</v>
      </c>
      <c r="B28" s="587" t="s">
        <v>1466</v>
      </c>
      <c r="C28" s="588"/>
      <c r="D28" s="455" t="s">
        <v>1466</v>
      </c>
      <c r="E28" s="455" t="s">
        <v>1467</v>
      </c>
      <c r="F28" s="455" t="s">
        <v>740</v>
      </c>
      <c r="G28" s="589" t="s">
        <v>1468</v>
      </c>
      <c r="H28" s="590"/>
      <c r="I28" s="591"/>
      <c r="J28" s="455" t="s">
        <v>1469</v>
      </c>
      <c r="K28" s="589" t="s">
        <v>1470</v>
      </c>
      <c r="L28" s="591"/>
      <c r="M28" s="450"/>
    </row>
    <row r="29" spans="1:13" ht="11.85" customHeight="1">
      <c r="A29" s="454" t="s">
        <v>1471</v>
      </c>
      <c r="B29" s="587">
        <v>4</v>
      </c>
      <c r="C29" s="588"/>
      <c r="D29" s="455" t="s">
        <v>1472</v>
      </c>
      <c r="E29" s="455" t="s">
        <v>1219</v>
      </c>
      <c r="F29" s="455" t="s">
        <v>1219</v>
      </c>
      <c r="G29" s="589" t="s">
        <v>1219</v>
      </c>
      <c r="H29" s="590"/>
      <c r="I29" s="591"/>
      <c r="J29" s="455" t="s">
        <v>1219</v>
      </c>
      <c r="K29" s="589" t="s">
        <v>1472</v>
      </c>
      <c r="L29" s="591"/>
      <c r="M29" s="450"/>
    </row>
    <row r="30" spans="1:13" ht="11.1" customHeight="1">
      <c r="A30" s="454" t="s">
        <v>1473</v>
      </c>
      <c r="B30" s="587" t="s">
        <v>1474</v>
      </c>
      <c r="C30" s="588"/>
      <c r="D30" s="455" t="s">
        <v>1475</v>
      </c>
      <c r="E30" s="455" t="s">
        <v>1476</v>
      </c>
      <c r="F30" s="455" t="s">
        <v>1477</v>
      </c>
      <c r="G30" s="589" t="s">
        <v>1478</v>
      </c>
      <c r="H30" s="590"/>
      <c r="I30" s="591"/>
      <c r="J30" s="455" t="s">
        <v>1479</v>
      </c>
      <c r="K30" s="589" t="s">
        <v>1480</v>
      </c>
      <c r="L30" s="591"/>
      <c r="M30" s="450"/>
    </row>
    <row r="31" spans="1:13" ht="11.85" customHeight="1">
      <c r="A31" s="454" t="s">
        <v>1481</v>
      </c>
      <c r="B31" s="587" t="s">
        <v>1482</v>
      </c>
      <c r="C31" s="588"/>
      <c r="D31" s="455" t="s">
        <v>1482</v>
      </c>
      <c r="E31" s="455" t="s">
        <v>1483</v>
      </c>
      <c r="F31" s="455" t="s">
        <v>1417</v>
      </c>
      <c r="G31" s="589" t="s">
        <v>1484</v>
      </c>
      <c r="H31" s="590"/>
      <c r="I31" s="591"/>
      <c r="J31" s="455" t="s">
        <v>892</v>
      </c>
      <c r="K31" s="589" t="s">
        <v>1485</v>
      </c>
      <c r="L31" s="591"/>
      <c r="M31" s="450"/>
    </row>
    <row r="32" spans="1:13" ht="11.85" customHeight="1">
      <c r="A32" s="454" t="s">
        <v>1486</v>
      </c>
      <c r="B32" s="587" t="s">
        <v>1487</v>
      </c>
      <c r="C32" s="588"/>
      <c r="D32" s="455" t="s">
        <v>1487</v>
      </c>
      <c r="E32" s="455" t="s">
        <v>1488</v>
      </c>
      <c r="F32" s="455" t="s">
        <v>1489</v>
      </c>
      <c r="G32" s="589" t="s">
        <v>1490</v>
      </c>
      <c r="H32" s="590"/>
      <c r="I32" s="591"/>
      <c r="J32" s="455" t="s">
        <v>1491</v>
      </c>
      <c r="K32" s="589" t="s">
        <v>1492</v>
      </c>
      <c r="L32" s="591"/>
      <c r="M32" s="450"/>
    </row>
    <row r="33" spans="1:13" ht="11.85" customHeight="1">
      <c r="A33" s="454" t="s">
        <v>1493</v>
      </c>
      <c r="B33" s="587" t="s">
        <v>1494</v>
      </c>
      <c r="C33" s="588"/>
      <c r="D33" s="455" t="s">
        <v>1494</v>
      </c>
      <c r="E33" s="455" t="s">
        <v>1495</v>
      </c>
      <c r="F33" s="455" t="s">
        <v>1496</v>
      </c>
      <c r="G33" s="589" t="s">
        <v>1497</v>
      </c>
      <c r="H33" s="590"/>
      <c r="I33" s="591"/>
      <c r="J33" s="455" t="s">
        <v>1498</v>
      </c>
      <c r="K33" s="589" t="s">
        <v>1499</v>
      </c>
      <c r="L33" s="591"/>
      <c r="M33" s="450"/>
    </row>
    <row r="34" spans="1:13" ht="11.1" customHeight="1">
      <c r="A34" s="454" t="s">
        <v>1500</v>
      </c>
      <c r="B34" s="587" t="s">
        <v>1501</v>
      </c>
      <c r="C34" s="588"/>
      <c r="D34" s="455" t="s">
        <v>1501</v>
      </c>
      <c r="E34" s="455" t="s">
        <v>1502</v>
      </c>
      <c r="F34" s="455" t="s">
        <v>1503</v>
      </c>
      <c r="G34" s="589" t="s">
        <v>1504</v>
      </c>
      <c r="H34" s="590"/>
      <c r="I34" s="591"/>
      <c r="J34" s="455" t="s">
        <v>1505</v>
      </c>
      <c r="K34" s="589" t="s">
        <v>1506</v>
      </c>
      <c r="L34" s="591"/>
      <c r="M34" s="450"/>
    </row>
    <row r="35" spans="1:13" ht="11.85" customHeight="1">
      <c r="A35" s="454" t="s">
        <v>1507</v>
      </c>
      <c r="B35" s="587" t="s">
        <v>1508</v>
      </c>
      <c r="C35" s="588"/>
      <c r="D35" s="455" t="s">
        <v>1508</v>
      </c>
      <c r="E35" s="455" t="s">
        <v>1509</v>
      </c>
      <c r="F35" s="455" t="s">
        <v>1510</v>
      </c>
      <c r="G35" s="589" t="s">
        <v>1511</v>
      </c>
      <c r="H35" s="590"/>
      <c r="I35" s="591"/>
      <c r="J35" s="455" t="s">
        <v>1512</v>
      </c>
      <c r="K35" s="589" t="s">
        <v>1513</v>
      </c>
      <c r="L35" s="591"/>
      <c r="M35" s="450"/>
    </row>
    <row r="36" spans="1:13" ht="11.85" customHeight="1">
      <c r="A36" s="454" t="s">
        <v>1514</v>
      </c>
      <c r="B36" s="587" t="s">
        <v>1515</v>
      </c>
      <c r="C36" s="588"/>
      <c r="D36" s="455" t="s">
        <v>1515</v>
      </c>
      <c r="E36" s="455" t="s">
        <v>1516</v>
      </c>
      <c r="F36" s="455" t="s">
        <v>1517</v>
      </c>
      <c r="G36" s="589" t="s">
        <v>1518</v>
      </c>
      <c r="H36" s="590"/>
      <c r="I36" s="591"/>
      <c r="J36" s="455" t="s">
        <v>1519</v>
      </c>
      <c r="K36" s="589" t="s">
        <v>1520</v>
      </c>
      <c r="L36" s="591"/>
      <c r="M36" s="450"/>
    </row>
    <row r="37" spans="1:13" ht="11.85" customHeight="1">
      <c r="A37" s="454" t="s">
        <v>1521</v>
      </c>
      <c r="B37" s="587" t="s">
        <v>1522</v>
      </c>
      <c r="C37" s="588"/>
      <c r="D37" s="455" t="s">
        <v>1522</v>
      </c>
      <c r="E37" s="455" t="s">
        <v>1523</v>
      </c>
      <c r="F37" s="455" t="s">
        <v>1524</v>
      </c>
      <c r="G37" s="589" t="s">
        <v>1525</v>
      </c>
      <c r="H37" s="590"/>
      <c r="I37" s="591"/>
      <c r="J37" s="455" t="s">
        <v>702</v>
      </c>
      <c r="K37" s="589" t="s">
        <v>1526</v>
      </c>
      <c r="L37" s="591"/>
      <c r="M37" s="450"/>
    </row>
    <row r="38" spans="1:13" ht="11.1" customHeight="1">
      <c r="A38" s="454" t="s">
        <v>1527</v>
      </c>
      <c r="B38" s="587" t="s">
        <v>1528</v>
      </c>
      <c r="C38" s="588"/>
      <c r="D38" s="455" t="s">
        <v>1528</v>
      </c>
      <c r="E38" s="455" t="s">
        <v>1529</v>
      </c>
      <c r="F38" s="455" t="s">
        <v>1530</v>
      </c>
      <c r="G38" s="589" t="s">
        <v>1529</v>
      </c>
      <c r="H38" s="590"/>
      <c r="I38" s="591"/>
      <c r="J38" s="455" t="s">
        <v>1530</v>
      </c>
      <c r="K38" s="589" t="s">
        <v>1531</v>
      </c>
      <c r="L38" s="591"/>
      <c r="M38" s="450"/>
    </row>
    <row r="39" spans="1:13" ht="11.85" customHeight="1">
      <c r="A39" s="454" t="s">
        <v>1451</v>
      </c>
      <c r="B39" s="587" t="s">
        <v>1532</v>
      </c>
      <c r="C39" s="588"/>
      <c r="D39" s="455" t="s">
        <v>1532</v>
      </c>
      <c r="E39" s="455" t="s">
        <v>1533</v>
      </c>
      <c r="F39" s="455" t="s">
        <v>1534</v>
      </c>
      <c r="G39" s="589" t="s">
        <v>1533</v>
      </c>
      <c r="H39" s="590"/>
      <c r="I39" s="591"/>
      <c r="J39" s="455" t="s">
        <v>1534</v>
      </c>
      <c r="K39" s="589" t="s">
        <v>1535</v>
      </c>
      <c r="L39" s="591"/>
      <c r="M39" s="450"/>
    </row>
    <row r="40" spans="1:13" ht="11.85" customHeight="1">
      <c r="A40" s="454" t="s">
        <v>1458</v>
      </c>
      <c r="B40" s="587" t="s">
        <v>1536</v>
      </c>
      <c r="C40" s="588"/>
      <c r="D40" s="455" t="s">
        <v>1536</v>
      </c>
      <c r="E40" s="455" t="s">
        <v>1537</v>
      </c>
      <c r="F40" s="455" t="s">
        <v>1538</v>
      </c>
      <c r="G40" s="589" t="s">
        <v>1537</v>
      </c>
      <c r="H40" s="590"/>
      <c r="I40" s="591"/>
      <c r="J40" s="455" t="s">
        <v>1538</v>
      </c>
      <c r="K40" s="589" t="s">
        <v>1539</v>
      </c>
      <c r="L40" s="591"/>
      <c r="M40" s="450"/>
    </row>
    <row r="41" spans="1:13" ht="11.85" customHeight="1">
      <c r="A41" s="454" t="s">
        <v>1540</v>
      </c>
      <c r="B41" s="587" t="s">
        <v>1541</v>
      </c>
      <c r="C41" s="588"/>
      <c r="D41" s="455" t="s">
        <v>1541</v>
      </c>
      <c r="E41" s="455" t="s">
        <v>1542</v>
      </c>
      <c r="F41" s="455" t="s">
        <v>1543</v>
      </c>
      <c r="G41" s="589" t="s">
        <v>1544</v>
      </c>
      <c r="H41" s="590"/>
      <c r="I41" s="591"/>
      <c r="J41" s="455" t="s">
        <v>1545</v>
      </c>
      <c r="K41" s="589" t="s">
        <v>1546</v>
      </c>
      <c r="L41" s="591"/>
      <c r="M41" s="450"/>
    </row>
    <row r="42" spans="1:13" ht="11.1" customHeight="1">
      <c r="A42" s="454" t="s">
        <v>1547</v>
      </c>
      <c r="B42" s="587" t="s">
        <v>1541</v>
      </c>
      <c r="C42" s="588"/>
      <c r="D42" s="455" t="s">
        <v>1541</v>
      </c>
      <c r="E42" s="455" t="s">
        <v>1542</v>
      </c>
      <c r="F42" s="455" t="s">
        <v>1543</v>
      </c>
      <c r="G42" s="589" t="s">
        <v>1544</v>
      </c>
      <c r="H42" s="590"/>
      <c r="I42" s="591"/>
      <c r="J42" s="455" t="s">
        <v>1545</v>
      </c>
      <c r="K42" s="589" t="s">
        <v>1546</v>
      </c>
      <c r="L42" s="591"/>
      <c r="M42" s="450"/>
    </row>
    <row r="43" spans="1:13" ht="11.85" customHeight="1">
      <c r="A43" s="454" t="s">
        <v>1548</v>
      </c>
      <c r="B43" s="587" t="s">
        <v>1549</v>
      </c>
      <c r="C43" s="588"/>
      <c r="D43" s="455" t="s">
        <v>1549</v>
      </c>
      <c r="E43" s="455" t="s">
        <v>1219</v>
      </c>
      <c r="F43" s="455" t="s">
        <v>1219</v>
      </c>
      <c r="G43" s="589" t="s">
        <v>1219</v>
      </c>
      <c r="H43" s="590"/>
      <c r="I43" s="591"/>
      <c r="J43" s="455" t="s">
        <v>1219</v>
      </c>
      <c r="K43" s="589" t="s">
        <v>1549</v>
      </c>
      <c r="L43" s="591"/>
      <c r="M43" s="450"/>
    </row>
    <row r="44" spans="1:13" ht="11.85" customHeight="1">
      <c r="A44" s="454" t="s">
        <v>1521</v>
      </c>
      <c r="B44" s="587" t="s">
        <v>1549</v>
      </c>
      <c r="C44" s="588"/>
      <c r="D44" s="455" t="s">
        <v>1549</v>
      </c>
      <c r="E44" s="455" t="s">
        <v>1219</v>
      </c>
      <c r="F44" s="455" t="s">
        <v>1219</v>
      </c>
      <c r="G44" s="589" t="s">
        <v>1219</v>
      </c>
      <c r="H44" s="590"/>
      <c r="I44" s="591"/>
      <c r="J44" s="455" t="s">
        <v>1219</v>
      </c>
      <c r="K44" s="589" t="s">
        <v>1549</v>
      </c>
      <c r="L44" s="591"/>
      <c r="M44" s="450"/>
    </row>
    <row r="45" spans="1:13" ht="11.85" customHeight="1">
      <c r="A45" s="456" t="s">
        <v>1550</v>
      </c>
      <c r="B45" s="592" t="s">
        <v>1551</v>
      </c>
      <c r="C45" s="593"/>
      <c r="D45" s="457" t="s">
        <v>1551</v>
      </c>
      <c r="E45" s="457" t="s">
        <v>1552</v>
      </c>
      <c r="F45" s="457" t="s">
        <v>1553</v>
      </c>
      <c r="G45" s="594" t="s">
        <v>1554</v>
      </c>
      <c r="H45" s="595"/>
      <c r="I45" s="596"/>
      <c r="J45" s="457" t="s">
        <v>1555</v>
      </c>
      <c r="K45" s="594" t="s">
        <v>1556</v>
      </c>
      <c r="L45" s="596"/>
      <c r="M45" s="450"/>
    </row>
    <row r="46" spans="1:13" ht="11.1" customHeight="1">
      <c r="A46" s="458" t="s">
        <v>1557</v>
      </c>
      <c r="B46" s="623" t="s">
        <v>1558</v>
      </c>
      <c r="C46" s="624"/>
      <c r="D46" s="459" t="s">
        <v>1559</v>
      </c>
      <c r="E46" s="459" t="s">
        <v>1560</v>
      </c>
      <c r="F46" s="459" t="s">
        <v>1561</v>
      </c>
      <c r="G46" s="629" t="s">
        <v>919</v>
      </c>
      <c r="H46" s="630"/>
      <c r="I46" s="631"/>
      <c r="J46" s="459" t="s">
        <v>1562</v>
      </c>
      <c r="K46" s="629" t="s">
        <v>1563</v>
      </c>
      <c r="L46" s="631"/>
      <c r="M46" s="450"/>
    </row>
    <row r="47" spans="1:13" ht="11.85" customHeight="1">
      <c r="A47" s="452" t="s">
        <v>1564</v>
      </c>
      <c r="B47" s="604" t="s">
        <v>1219</v>
      </c>
      <c r="C47" s="605"/>
      <c r="D47" s="453" t="s">
        <v>1219</v>
      </c>
      <c r="E47" s="453" t="s">
        <v>1219</v>
      </c>
      <c r="F47" s="453" t="s">
        <v>1219</v>
      </c>
      <c r="G47" s="606" t="s">
        <v>1219</v>
      </c>
      <c r="H47" s="607"/>
      <c r="I47" s="608"/>
      <c r="J47" s="453" t="s">
        <v>1219</v>
      </c>
      <c r="K47" s="606" t="s">
        <v>1219</v>
      </c>
      <c r="L47" s="608"/>
      <c r="M47" s="450"/>
    </row>
    <row r="48" spans="1:13" ht="5.85" customHeight="1"/>
    <row r="49" spans="1:17" ht="11.85" customHeight="1">
      <c r="A49" s="615" t="s">
        <v>1332</v>
      </c>
      <c r="B49" s="615"/>
      <c r="Q49" s="448" t="s">
        <v>1565</v>
      </c>
    </row>
    <row r="50" spans="1:17" ht="11.1" customHeight="1">
      <c r="A50" s="615" t="s">
        <v>1206</v>
      </c>
      <c r="B50" s="615"/>
    </row>
    <row r="51" spans="1:17" ht="11.85" customHeight="1">
      <c r="A51" s="619" t="s">
        <v>1334</v>
      </c>
      <c r="B51" s="619"/>
    </row>
    <row r="52" spans="1:17" ht="11.85" customHeight="1">
      <c r="A52" s="615" t="s">
        <v>1335</v>
      </c>
      <c r="B52" s="615"/>
    </row>
    <row r="53" spans="1:17" ht="11.85" customHeight="1">
      <c r="A53" s="615" t="s">
        <v>1209</v>
      </c>
      <c r="B53" s="615"/>
    </row>
    <row r="54" spans="1:17" ht="5.85" customHeight="1"/>
    <row r="55" spans="1:17" ht="11.1" customHeight="1">
      <c r="A55" s="616" t="s">
        <v>1336</v>
      </c>
      <c r="B55" s="616"/>
      <c r="C55" s="616"/>
      <c r="D55" s="616"/>
      <c r="E55" s="616"/>
      <c r="F55" s="616"/>
      <c r="G55" s="616"/>
      <c r="H55" s="449"/>
      <c r="I55" s="449"/>
      <c r="J55" s="449"/>
      <c r="K55" s="449"/>
      <c r="L55" s="449"/>
      <c r="O55" s="617" t="s">
        <v>1305</v>
      </c>
      <c r="P55" s="617"/>
      <c r="Q55" s="617"/>
    </row>
    <row r="56" spans="1:17" ht="11.85" customHeight="1">
      <c r="A56" s="609" t="s">
        <v>1214</v>
      </c>
      <c r="B56" s="597" t="s">
        <v>1337</v>
      </c>
      <c r="C56" s="599"/>
      <c r="D56" s="597" t="s">
        <v>1338</v>
      </c>
      <c r="E56" s="611" t="s">
        <v>1339</v>
      </c>
      <c r="F56" s="612"/>
      <c r="G56" s="612"/>
      <c r="H56" s="612"/>
      <c r="I56" s="612"/>
      <c r="J56" s="613"/>
      <c r="K56" s="597" t="s">
        <v>1340</v>
      </c>
      <c r="L56" s="599"/>
      <c r="M56" s="450"/>
    </row>
    <row r="57" spans="1:17" ht="17.850000000000001" customHeight="1">
      <c r="A57" s="610"/>
      <c r="B57" s="600"/>
      <c r="C57" s="601"/>
      <c r="D57" s="598"/>
      <c r="E57" s="451" t="s">
        <v>1341</v>
      </c>
      <c r="F57" s="451" t="s">
        <v>1342</v>
      </c>
      <c r="G57" s="597" t="s">
        <v>1343</v>
      </c>
      <c r="H57" s="602"/>
      <c r="I57" s="603"/>
      <c r="J57" s="451" t="s">
        <v>1344</v>
      </c>
      <c r="K57" s="600"/>
      <c r="L57" s="601"/>
      <c r="M57" s="450"/>
    </row>
    <row r="58" spans="1:17" ht="11.1" customHeight="1">
      <c r="A58" s="452" t="s">
        <v>1566</v>
      </c>
      <c r="B58" s="604" t="s">
        <v>1219</v>
      </c>
      <c r="C58" s="605"/>
      <c r="D58" s="453" t="s">
        <v>1219</v>
      </c>
      <c r="E58" s="453" t="s">
        <v>1219</v>
      </c>
      <c r="F58" s="453" t="s">
        <v>1219</v>
      </c>
      <c r="G58" s="606" t="s">
        <v>1219</v>
      </c>
      <c r="H58" s="607"/>
      <c r="I58" s="608"/>
      <c r="J58" s="453" t="s">
        <v>1219</v>
      </c>
      <c r="K58" s="606" t="s">
        <v>1219</v>
      </c>
      <c r="L58" s="608"/>
      <c r="M58" s="450"/>
    </row>
    <row r="59" spans="1:17" ht="11.85" customHeight="1">
      <c r="A59" s="456" t="s">
        <v>1567</v>
      </c>
      <c r="B59" s="592" t="s">
        <v>1219</v>
      </c>
      <c r="C59" s="593"/>
      <c r="D59" s="457" t="s">
        <v>1219</v>
      </c>
      <c r="E59" s="457" t="s">
        <v>1219</v>
      </c>
      <c r="F59" s="457" t="s">
        <v>1219</v>
      </c>
      <c r="G59" s="594" t="s">
        <v>1219</v>
      </c>
      <c r="H59" s="595"/>
      <c r="I59" s="596"/>
      <c r="J59" s="457" t="s">
        <v>1219</v>
      </c>
      <c r="K59" s="594" t="s">
        <v>1219</v>
      </c>
      <c r="L59" s="596"/>
      <c r="M59" s="450"/>
    </row>
    <row r="60" spans="1:17" ht="11.85" customHeight="1">
      <c r="A60" s="458" t="s">
        <v>1568</v>
      </c>
      <c r="B60" s="623" t="s">
        <v>1558</v>
      </c>
      <c r="C60" s="624"/>
      <c r="D60" s="459" t="s">
        <v>1559</v>
      </c>
      <c r="E60" s="459" t="s">
        <v>1560</v>
      </c>
      <c r="F60" s="459" t="s">
        <v>1561</v>
      </c>
      <c r="G60" s="629" t="s">
        <v>919</v>
      </c>
      <c r="H60" s="630"/>
      <c r="I60" s="631"/>
      <c r="J60" s="459" t="s">
        <v>1562</v>
      </c>
      <c r="K60" s="629" t="s">
        <v>1563</v>
      </c>
      <c r="L60" s="631"/>
      <c r="M60" s="450"/>
    </row>
    <row r="61" spans="1:17" ht="11.85" customHeight="1">
      <c r="A61" s="458" t="s">
        <v>1569</v>
      </c>
      <c r="B61" s="623" t="s">
        <v>1219</v>
      </c>
      <c r="C61" s="624"/>
      <c r="D61" s="459" t="s">
        <v>1219</v>
      </c>
      <c r="E61" s="459" t="s">
        <v>1219</v>
      </c>
      <c r="F61" s="459" t="s">
        <v>1219</v>
      </c>
      <c r="G61" s="629" t="s">
        <v>1219</v>
      </c>
      <c r="H61" s="630"/>
      <c r="I61" s="631"/>
      <c r="J61" s="459" t="s">
        <v>1219</v>
      </c>
      <c r="K61" s="629" t="s">
        <v>1219</v>
      </c>
      <c r="L61" s="631"/>
      <c r="M61" s="450"/>
    </row>
    <row r="62" spans="1:17" ht="11.1" customHeight="1">
      <c r="A62" s="460" t="s">
        <v>1570</v>
      </c>
      <c r="B62" s="620" t="s">
        <v>1558</v>
      </c>
      <c r="C62" s="621"/>
      <c r="D62" s="461" t="s">
        <v>1559</v>
      </c>
      <c r="E62" s="461" t="s">
        <v>1560</v>
      </c>
      <c r="F62" s="461" t="s">
        <v>1561</v>
      </c>
      <c r="G62" s="632" t="s">
        <v>919</v>
      </c>
      <c r="H62" s="633"/>
      <c r="I62" s="634"/>
      <c r="J62" s="461" t="s">
        <v>1562</v>
      </c>
      <c r="K62" s="632" t="s">
        <v>1563</v>
      </c>
      <c r="L62" s="634"/>
      <c r="M62" s="450"/>
    </row>
    <row r="63" spans="1:17" ht="11.85" customHeight="1">
      <c r="A63" s="458" t="s">
        <v>1571</v>
      </c>
      <c r="B63" s="623" t="s">
        <v>1219</v>
      </c>
      <c r="C63" s="624"/>
      <c r="D63" s="459" t="s">
        <v>1572</v>
      </c>
      <c r="E63" s="459" t="s">
        <v>1219</v>
      </c>
      <c r="F63" s="459" t="s">
        <v>1219</v>
      </c>
      <c r="G63" s="629" t="s">
        <v>1572</v>
      </c>
      <c r="H63" s="630"/>
      <c r="I63" s="631"/>
      <c r="J63" s="459" t="s">
        <v>1219</v>
      </c>
      <c r="K63" s="629" t="s">
        <v>1219</v>
      </c>
      <c r="L63" s="631"/>
      <c r="M63" s="450"/>
    </row>
    <row r="64" spans="1:17" ht="11.85" customHeight="1">
      <c r="A64" s="458" t="s">
        <v>1573</v>
      </c>
      <c r="B64" s="623" t="s">
        <v>1219</v>
      </c>
      <c r="C64" s="624"/>
      <c r="D64" s="459" t="s">
        <v>1572</v>
      </c>
      <c r="E64" s="459" t="s">
        <v>1219</v>
      </c>
      <c r="F64" s="459" t="s">
        <v>1219</v>
      </c>
      <c r="G64" s="629" t="s">
        <v>1572</v>
      </c>
      <c r="H64" s="630"/>
      <c r="I64" s="631"/>
      <c r="J64" s="459" t="s">
        <v>1219</v>
      </c>
      <c r="K64" s="629" t="s">
        <v>1219</v>
      </c>
      <c r="L64" s="631"/>
      <c r="M64" s="450"/>
    </row>
    <row r="65" spans="1:18" ht="11.85" customHeight="1">
      <c r="A65" s="462"/>
      <c r="B65" s="462"/>
      <c r="C65" s="462"/>
      <c r="D65" s="462"/>
      <c r="E65" s="462"/>
      <c r="F65" s="462"/>
      <c r="G65" s="462"/>
      <c r="H65" s="462"/>
      <c r="I65" s="462"/>
      <c r="J65" s="462"/>
      <c r="K65" s="462"/>
      <c r="L65" s="462"/>
      <c r="M65" s="449"/>
      <c r="N65" s="449"/>
      <c r="O65" s="449"/>
      <c r="P65" s="449"/>
      <c r="Q65" s="449"/>
    </row>
    <row r="66" spans="1:18" ht="11.1" customHeight="1">
      <c r="A66" s="609" t="s">
        <v>1221</v>
      </c>
      <c r="B66" s="597" t="s">
        <v>1574</v>
      </c>
      <c r="C66" s="599"/>
      <c r="D66" s="597" t="s">
        <v>1575</v>
      </c>
      <c r="E66" s="611" t="s">
        <v>1576</v>
      </c>
      <c r="F66" s="612"/>
      <c r="G66" s="612"/>
      <c r="H66" s="613"/>
      <c r="I66" s="597" t="s">
        <v>1577</v>
      </c>
      <c r="J66" s="599"/>
      <c r="K66" s="611" t="s">
        <v>1578</v>
      </c>
      <c r="L66" s="612"/>
      <c r="M66" s="613"/>
      <c r="N66" s="597" t="s">
        <v>1579</v>
      </c>
      <c r="O66" s="597" t="s">
        <v>1580</v>
      </c>
      <c r="P66" s="597" t="s">
        <v>1581</v>
      </c>
      <c r="Q66" s="599"/>
      <c r="R66" s="450"/>
    </row>
    <row r="67" spans="1:18" ht="17.850000000000001" customHeight="1">
      <c r="A67" s="610"/>
      <c r="B67" s="600"/>
      <c r="C67" s="601"/>
      <c r="D67" s="598"/>
      <c r="E67" s="451" t="s">
        <v>1582</v>
      </c>
      <c r="F67" s="597" t="s">
        <v>1583</v>
      </c>
      <c r="G67" s="602"/>
      <c r="H67" s="603"/>
      <c r="I67" s="600"/>
      <c r="J67" s="601"/>
      <c r="K67" s="597" t="s">
        <v>1582</v>
      </c>
      <c r="L67" s="603"/>
      <c r="M67" s="451" t="s">
        <v>1584</v>
      </c>
      <c r="N67" s="598"/>
      <c r="O67" s="598"/>
      <c r="P67" s="600"/>
      <c r="Q67" s="601"/>
      <c r="R67" s="450"/>
    </row>
    <row r="68" spans="1:18" ht="11.85" customHeight="1">
      <c r="A68" s="452" t="s">
        <v>1585</v>
      </c>
      <c r="B68" s="604" t="s">
        <v>1586</v>
      </c>
      <c r="C68" s="605"/>
      <c r="D68" s="463" t="s">
        <v>1587</v>
      </c>
      <c r="E68" s="463" t="s">
        <v>1588</v>
      </c>
      <c r="F68" s="604" t="s">
        <v>1589</v>
      </c>
      <c r="G68" s="628"/>
      <c r="H68" s="605"/>
      <c r="I68" s="604" t="s">
        <v>1590</v>
      </c>
      <c r="J68" s="605"/>
      <c r="K68" s="604" t="s">
        <v>1591</v>
      </c>
      <c r="L68" s="605"/>
      <c r="M68" s="463" t="s">
        <v>1592</v>
      </c>
      <c r="N68" s="463" t="s">
        <v>1593</v>
      </c>
      <c r="O68" s="463" t="s">
        <v>1594</v>
      </c>
      <c r="P68" s="604" t="s">
        <v>1219</v>
      </c>
      <c r="Q68" s="605"/>
      <c r="R68" s="464"/>
    </row>
    <row r="69" spans="1:18" ht="11.85" customHeight="1">
      <c r="A69" s="454" t="s">
        <v>1595</v>
      </c>
      <c r="B69" s="587" t="s">
        <v>1596</v>
      </c>
      <c r="C69" s="588"/>
      <c r="D69" s="465" t="s">
        <v>1597</v>
      </c>
      <c r="E69" s="465" t="s">
        <v>1598</v>
      </c>
      <c r="F69" s="587" t="s">
        <v>1599</v>
      </c>
      <c r="G69" s="626"/>
      <c r="H69" s="588"/>
      <c r="I69" s="587" t="s">
        <v>1600</v>
      </c>
      <c r="J69" s="588"/>
      <c r="K69" s="587" t="s">
        <v>1601</v>
      </c>
      <c r="L69" s="588"/>
      <c r="M69" s="465" t="s">
        <v>1602</v>
      </c>
      <c r="N69" s="465" t="s">
        <v>1603</v>
      </c>
      <c r="O69" s="465" t="s">
        <v>1604</v>
      </c>
      <c r="P69" s="587" t="s">
        <v>1219</v>
      </c>
      <c r="Q69" s="588"/>
      <c r="R69" s="464"/>
    </row>
    <row r="70" spans="1:18" ht="11.1" customHeight="1">
      <c r="A70" s="454" t="s">
        <v>1605</v>
      </c>
      <c r="B70" s="587" t="s">
        <v>1606</v>
      </c>
      <c r="C70" s="588"/>
      <c r="D70" s="465" t="s">
        <v>1607</v>
      </c>
      <c r="E70" s="465" t="s">
        <v>1608</v>
      </c>
      <c r="F70" s="587" t="s">
        <v>1609</v>
      </c>
      <c r="G70" s="626"/>
      <c r="H70" s="588"/>
      <c r="I70" s="587" t="s">
        <v>1610</v>
      </c>
      <c r="J70" s="588"/>
      <c r="K70" s="587" t="s">
        <v>1611</v>
      </c>
      <c r="L70" s="588"/>
      <c r="M70" s="465" t="s">
        <v>1612</v>
      </c>
      <c r="N70" s="465" t="s">
        <v>1613</v>
      </c>
      <c r="O70" s="465" t="s">
        <v>1614</v>
      </c>
      <c r="P70" s="587" t="s">
        <v>1219</v>
      </c>
      <c r="Q70" s="588"/>
      <c r="R70" s="464"/>
    </row>
    <row r="71" spans="1:18" ht="11.85" customHeight="1">
      <c r="A71" s="454" t="s">
        <v>1615</v>
      </c>
      <c r="B71" s="587" t="s">
        <v>1616</v>
      </c>
      <c r="C71" s="588"/>
      <c r="D71" s="465" t="s">
        <v>1616</v>
      </c>
      <c r="E71" s="465" t="s">
        <v>1219</v>
      </c>
      <c r="F71" s="587" t="s">
        <v>1617</v>
      </c>
      <c r="G71" s="626"/>
      <c r="H71" s="588"/>
      <c r="I71" s="587" t="s">
        <v>1618</v>
      </c>
      <c r="J71" s="588"/>
      <c r="K71" s="587" t="s">
        <v>1619</v>
      </c>
      <c r="L71" s="588"/>
      <c r="M71" s="465" t="s">
        <v>1620</v>
      </c>
      <c r="N71" s="465" t="s">
        <v>1621</v>
      </c>
      <c r="O71" s="465" t="s">
        <v>1620</v>
      </c>
      <c r="P71" s="587" t="s">
        <v>1219</v>
      </c>
      <c r="Q71" s="588"/>
      <c r="R71" s="464"/>
    </row>
    <row r="72" spans="1:18" ht="11.85" customHeight="1">
      <c r="A72" s="454" t="s">
        <v>1622</v>
      </c>
      <c r="B72" s="587" t="s">
        <v>1623</v>
      </c>
      <c r="C72" s="588"/>
      <c r="D72" s="465" t="s">
        <v>1624</v>
      </c>
      <c r="E72" s="465" t="s">
        <v>1625</v>
      </c>
      <c r="F72" s="587" t="s">
        <v>1626</v>
      </c>
      <c r="G72" s="626"/>
      <c r="H72" s="588"/>
      <c r="I72" s="587" t="s">
        <v>1627</v>
      </c>
      <c r="J72" s="588"/>
      <c r="K72" s="587" t="s">
        <v>1628</v>
      </c>
      <c r="L72" s="588"/>
      <c r="M72" s="465" t="s">
        <v>1629</v>
      </c>
      <c r="N72" s="465" t="s">
        <v>1630</v>
      </c>
      <c r="O72" s="465" t="s">
        <v>1631</v>
      </c>
      <c r="P72" s="587" t="s">
        <v>1219</v>
      </c>
      <c r="Q72" s="588"/>
      <c r="R72" s="464"/>
    </row>
    <row r="73" spans="1:18" ht="11.85" customHeight="1">
      <c r="A73" s="454" t="s">
        <v>1632</v>
      </c>
      <c r="B73" s="587" t="s">
        <v>1633</v>
      </c>
      <c r="C73" s="588"/>
      <c r="D73" s="465" t="s">
        <v>1634</v>
      </c>
      <c r="E73" s="465" t="s">
        <v>1635</v>
      </c>
      <c r="F73" s="587" t="s">
        <v>1636</v>
      </c>
      <c r="G73" s="626"/>
      <c r="H73" s="588"/>
      <c r="I73" s="587" t="s">
        <v>1637</v>
      </c>
      <c r="J73" s="588"/>
      <c r="K73" s="587" t="s">
        <v>1638</v>
      </c>
      <c r="L73" s="588"/>
      <c r="M73" s="465" t="s">
        <v>1639</v>
      </c>
      <c r="N73" s="465" t="s">
        <v>1640</v>
      </c>
      <c r="O73" s="465" t="s">
        <v>1641</v>
      </c>
      <c r="P73" s="587" t="s">
        <v>1219</v>
      </c>
      <c r="Q73" s="588"/>
      <c r="R73" s="464"/>
    </row>
    <row r="74" spans="1:18" ht="11.1" customHeight="1">
      <c r="A74" s="454" t="s">
        <v>1642</v>
      </c>
      <c r="B74" s="587" t="s">
        <v>1643</v>
      </c>
      <c r="C74" s="588"/>
      <c r="D74" s="465" t="s">
        <v>1644</v>
      </c>
      <c r="E74" s="465" t="s">
        <v>1635</v>
      </c>
      <c r="F74" s="587" t="s">
        <v>1636</v>
      </c>
      <c r="G74" s="626"/>
      <c r="H74" s="588"/>
      <c r="I74" s="587" t="s">
        <v>1645</v>
      </c>
      <c r="J74" s="588"/>
      <c r="K74" s="587" t="s">
        <v>1638</v>
      </c>
      <c r="L74" s="588"/>
      <c r="M74" s="465" t="s">
        <v>1639</v>
      </c>
      <c r="N74" s="465" t="s">
        <v>1646</v>
      </c>
      <c r="O74" s="465" t="s">
        <v>1641</v>
      </c>
      <c r="P74" s="587" t="s">
        <v>1219</v>
      </c>
      <c r="Q74" s="588"/>
      <c r="R74" s="464"/>
    </row>
    <row r="75" spans="1:18" ht="11.85" customHeight="1">
      <c r="A75" s="454" t="s">
        <v>1647</v>
      </c>
      <c r="B75" s="587" t="s">
        <v>1648</v>
      </c>
      <c r="C75" s="588"/>
      <c r="D75" s="465" t="s">
        <v>1649</v>
      </c>
      <c r="E75" s="465" t="s">
        <v>1219</v>
      </c>
      <c r="F75" s="587" t="s">
        <v>1219</v>
      </c>
      <c r="G75" s="626"/>
      <c r="H75" s="588"/>
      <c r="I75" s="587" t="s">
        <v>1649</v>
      </c>
      <c r="J75" s="588"/>
      <c r="K75" s="587" t="s">
        <v>1219</v>
      </c>
      <c r="L75" s="588"/>
      <c r="M75" s="465" t="s">
        <v>1219</v>
      </c>
      <c r="N75" s="465" t="s">
        <v>1649</v>
      </c>
      <c r="O75" s="465" t="s">
        <v>1219</v>
      </c>
      <c r="P75" s="587" t="s">
        <v>1219</v>
      </c>
      <c r="Q75" s="588"/>
      <c r="R75" s="464"/>
    </row>
    <row r="76" spans="1:18" ht="11.85" customHeight="1">
      <c r="A76" s="454" t="s">
        <v>1650</v>
      </c>
      <c r="B76" s="587" t="s">
        <v>1651</v>
      </c>
      <c r="C76" s="588"/>
      <c r="D76" s="465" t="s">
        <v>1652</v>
      </c>
      <c r="E76" s="465" t="s">
        <v>1219</v>
      </c>
      <c r="F76" s="587" t="s">
        <v>1219</v>
      </c>
      <c r="G76" s="626"/>
      <c r="H76" s="588"/>
      <c r="I76" s="587" t="s">
        <v>1652</v>
      </c>
      <c r="J76" s="588"/>
      <c r="K76" s="587" t="s">
        <v>1219</v>
      </c>
      <c r="L76" s="588"/>
      <c r="M76" s="465" t="s">
        <v>1219</v>
      </c>
      <c r="N76" s="465" t="s">
        <v>1652</v>
      </c>
      <c r="O76" s="465" t="s">
        <v>1219</v>
      </c>
      <c r="P76" s="587" t="s">
        <v>1219</v>
      </c>
      <c r="Q76" s="588"/>
      <c r="R76" s="464"/>
    </row>
    <row r="77" spans="1:18" ht="11.85" customHeight="1">
      <c r="A77" s="454" t="s">
        <v>1653</v>
      </c>
      <c r="B77" s="587" t="s">
        <v>1654</v>
      </c>
      <c r="C77" s="588"/>
      <c r="D77" s="465" t="s">
        <v>1655</v>
      </c>
      <c r="E77" s="465" t="s">
        <v>1219</v>
      </c>
      <c r="F77" s="587" t="s">
        <v>1219</v>
      </c>
      <c r="G77" s="626"/>
      <c r="H77" s="588"/>
      <c r="I77" s="587" t="s">
        <v>1655</v>
      </c>
      <c r="J77" s="588"/>
      <c r="K77" s="587" t="s">
        <v>1219</v>
      </c>
      <c r="L77" s="588"/>
      <c r="M77" s="465" t="s">
        <v>1219</v>
      </c>
      <c r="N77" s="465" t="s">
        <v>1655</v>
      </c>
      <c r="O77" s="465" t="s">
        <v>1219</v>
      </c>
      <c r="P77" s="587" t="s">
        <v>1219</v>
      </c>
      <c r="Q77" s="588"/>
      <c r="R77" s="464"/>
    </row>
    <row r="78" spans="1:18" ht="11.1" customHeight="1">
      <c r="A78" s="456" t="s">
        <v>1656</v>
      </c>
      <c r="B78" s="592" t="s">
        <v>1657</v>
      </c>
      <c r="C78" s="593"/>
      <c r="D78" s="466" t="s">
        <v>1658</v>
      </c>
      <c r="E78" s="466" t="s">
        <v>1659</v>
      </c>
      <c r="F78" s="592" t="s">
        <v>1660</v>
      </c>
      <c r="G78" s="627"/>
      <c r="H78" s="593"/>
      <c r="I78" s="592" t="s">
        <v>1661</v>
      </c>
      <c r="J78" s="593"/>
      <c r="K78" s="592" t="s">
        <v>1659</v>
      </c>
      <c r="L78" s="593"/>
      <c r="M78" s="466" t="s">
        <v>1660</v>
      </c>
      <c r="N78" s="466" t="s">
        <v>1661</v>
      </c>
      <c r="O78" s="466" t="s">
        <v>1662</v>
      </c>
      <c r="P78" s="592" t="s">
        <v>1219</v>
      </c>
      <c r="Q78" s="593"/>
      <c r="R78" s="464"/>
    </row>
    <row r="79" spans="1:18" ht="11.85" customHeight="1">
      <c r="A79" s="458" t="s">
        <v>1663</v>
      </c>
      <c r="B79" s="623" t="s">
        <v>1664</v>
      </c>
      <c r="C79" s="624"/>
      <c r="D79" s="467" t="s">
        <v>1665</v>
      </c>
      <c r="E79" s="467" t="s">
        <v>1666</v>
      </c>
      <c r="F79" s="623" t="s">
        <v>1072</v>
      </c>
      <c r="G79" s="625"/>
      <c r="H79" s="624"/>
      <c r="I79" s="623" t="s">
        <v>1667</v>
      </c>
      <c r="J79" s="624"/>
      <c r="K79" s="623" t="s">
        <v>1668</v>
      </c>
      <c r="L79" s="624"/>
      <c r="M79" s="467" t="s">
        <v>921</v>
      </c>
      <c r="N79" s="467" t="s">
        <v>1669</v>
      </c>
      <c r="O79" s="467" t="s">
        <v>1670</v>
      </c>
      <c r="P79" s="623" t="s">
        <v>1219</v>
      </c>
      <c r="Q79" s="624"/>
      <c r="R79" s="464"/>
    </row>
    <row r="80" spans="1:18" ht="11.85" customHeight="1">
      <c r="A80" s="452" t="s">
        <v>1671</v>
      </c>
      <c r="B80" s="604" t="s">
        <v>1219</v>
      </c>
      <c r="C80" s="605"/>
      <c r="D80" s="463" t="s">
        <v>1219</v>
      </c>
      <c r="E80" s="463" t="s">
        <v>1219</v>
      </c>
      <c r="F80" s="604" t="s">
        <v>1219</v>
      </c>
      <c r="G80" s="628"/>
      <c r="H80" s="605"/>
      <c r="I80" s="604" t="s">
        <v>1219</v>
      </c>
      <c r="J80" s="605"/>
      <c r="K80" s="604" t="s">
        <v>1219</v>
      </c>
      <c r="L80" s="605"/>
      <c r="M80" s="463" t="s">
        <v>1219</v>
      </c>
      <c r="N80" s="463" t="s">
        <v>1219</v>
      </c>
      <c r="O80" s="463" t="s">
        <v>1219</v>
      </c>
      <c r="P80" s="604" t="s">
        <v>1219</v>
      </c>
      <c r="Q80" s="605"/>
      <c r="R80" s="464"/>
    </row>
    <row r="81" spans="1:18" ht="11.85" customHeight="1">
      <c r="A81" s="454" t="s">
        <v>1672</v>
      </c>
      <c r="B81" s="587" t="s">
        <v>1219</v>
      </c>
      <c r="C81" s="588"/>
      <c r="D81" s="465" t="s">
        <v>1219</v>
      </c>
      <c r="E81" s="465" t="s">
        <v>1219</v>
      </c>
      <c r="F81" s="587" t="s">
        <v>1219</v>
      </c>
      <c r="G81" s="626"/>
      <c r="H81" s="588"/>
      <c r="I81" s="587" t="s">
        <v>1219</v>
      </c>
      <c r="J81" s="588"/>
      <c r="K81" s="587" t="s">
        <v>1219</v>
      </c>
      <c r="L81" s="588"/>
      <c r="M81" s="465" t="s">
        <v>1219</v>
      </c>
      <c r="N81" s="465" t="s">
        <v>1219</v>
      </c>
      <c r="O81" s="465" t="s">
        <v>1219</v>
      </c>
      <c r="P81" s="587" t="s">
        <v>1219</v>
      </c>
      <c r="Q81" s="588"/>
      <c r="R81" s="464"/>
    </row>
    <row r="82" spans="1:18" ht="11.1" customHeight="1">
      <c r="A82" s="456" t="s">
        <v>1673</v>
      </c>
      <c r="B82" s="592" t="s">
        <v>1219</v>
      </c>
      <c r="C82" s="593"/>
      <c r="D82" s="466" t="s">
        <v>1219</v>
      </c>
      <c r="E82" s="466" t="s">
        <v>1219</v>
      </c>
      <c r="F82" s="592" t="s">
        <v>1219</v>
      </c>
      <c r="G82" s="627"/>
      <c r="H82" s="593"/>
      <c r="I82" s="592" t="s">
        <v>1219</v>
      </c>
      <c r="J82" s="593"/>
      <c r="K82" s="592" t="s">
        <v>1219</v>
      </c>
      <c r="L82" s="593"/>
      <c r="M82" s="466" t="s">
        <v>1219</v>
      </c>
      <c r="N82" s="466" t="s">
        <v>1219</v>
      </c>
      <c r="O82" s="466" t="s">
        <v>1219</v>
      </c>
      <c r="P82" s="592" t="s">
        <v>1219</v>
      </c>
      <c r="Q82" s="593"/>
      <c r="R82" s="464"/>
    </row>
    <row r="83" spans="1:18" ht="11.85" customHeight="1">
      <c r="A83" s="458" t="s">
        <v>1674</v>
      </c>
      <c r="B83" s="623" t="s">
        <v>1664</v>
      </c>
      <c r="C83" s="624"/>
      <c r="D83" s="467" t="s">
        <v>1665</v>
      </c>
      <c r="E83" s="467" t="s">
        <v>1666</v>
      </c>
      <c r="F83" s="623" t="s">
        <v>1072</v>
      </c>
      <c r="G83" s="625"/>
      <c r="H83" s="624"/>
      <c r="I83" s="623" t="s">
        <v>1667</v>
      </c>
      <c r="J83" s="624"/>
      <c r="K83" s="623" t="s">
        <v>1668</v>
      </c>
      <c r="L83" s="624"/>
      <c r="M83" s="467" t="s">
        <v>921</v>
      </c>
      <c r="N83" s="467" t="s">
        <v>1669</v>
      </c>
      <c r="O83" s="467" t="s">
        <v>1670</v>
      </c>
      <c r="P83" s="623" t="s">
        <v>1219</v>
      </c>
      <c r="Q83" s="624"/>
      <c r="R83" s="464"/>
    </row>
    <row r="84" spans="1:18" ht="11.85" customHeight="1">
      <c r="A84" s="458" t="s">
        <v>1675</v>
      </c>
      <c r="B84" s="623" t="s">
        <v>1219</v>
      </c>
      <c r="C84" s="624"/>
      <c r="D84" s="467" t="s">
        <v>1219</v>
      </c>
      <c r="E84" s="467" t="s">
        <v>1219</v>
      </c>
      <c r="F84" s="623" t="s">
        <v>1676</v>
      </c>
      <c r="G84" s="625"/>
      <c r="H84" s="624"/>
      <c r="I84" s="623" t="s">
        <v>1219</v>
      </c>
      <c r="J84" s="624"/>
      <c r="K84" s="623" t="s">
        <v>1219</v>
      </c>
      <c r="L84" s="624"/>
      <c r="M84" s="467" t="s">
        <v>1677</v>
      </c>
      <c r="N84" s="467" t="s">
        <v>1219</v>
      </c>
      <c r="O84" s="467" t="s">
        <v>1678</v>
      </c>
      <c r="P84" s="623" t="s">
        <v>1219</v>
      </c>
      <c r="Q84" s="624"/>
      <c r="R84" s="464"/>
    </row>
    <row r="85" spans="1:18" ht="11.85" customHeight="1">
      <c r="A85" s="460" t="s">
        <v>1679</v>
      </c>
      <c r="B85" s="620" t="s">
        <v>1664</v>
      </c>
      <c r="C85" s="621"/>
      <c r="D85" s="468" t="s">
        <v>1665</v>
      </c>
      <c r="E85" s="468" t="s">
        <v>1666</v>
      </c>
      <c r="F85" s="620" t="s">
        <v>919</v>
      </c>
      <c r="G85" s="622"/>
      <c r="H85" s="621"/>
      <c r="I85" s="620" t="s">
        <v>1219</v>
      </c>
      <c r="J85" s="621"/>
      <c r="K85" s="620" t="s">
        <v>1668</v>
      </c>
      <c r="L85" s="621"/>
      <c r="M85" s="468" t="s">
        <v>919</v>
      </c>
      <c r="N85" s="468" t="s">
        <v>1669</v>
      </c>
      <c r="O85" s="468" t="s">
        <v>919</v>
      </c>
      <c r="P85" s="620" t="s">
        <v>1219</v>
      </c>
      <c r="Q85" s="621"/>
      <c r="R85" s="464"/>
    </row>
    <row r="86" spans="1:18" ht="11.1" customHeight="1">
      <c r="A86" s="458" t="s">
        <v>1680</v>
      </c>
      <c r="B86" s="623" t="s">
        <v>1681</v>
      </c>
      <c r="C86" s="624"/>
      <c r="D86" s="467" t="s">
        <v>1681</v>
      </c>
      <c r="E86" s="467" t="s">
        <v>1219</v>
      </c>
      <c r="F86" s="623" t="s">
        <v>1219</v>
      </c>
      <c r="G86" s="625"/>
      <c r="H86" s="624"/>
      <c r="I86" s="623" t="s">
        <v>1681</v>
      </c>
      <c r="J86" s="624"/>
      <c r="K86" s="623" t="s">
        <v>1219</v>
      </c>
      <c r="L86" s="624"/>
      <c r="M86" s="467" t="s">
        <v>1219</v>
      </c>
      <c r="N86" s="467" t="s">
        <v>1681</v>
      </c>
      <c r="O86" s="467" t="s">
        <v>1219</v>
      </c>
      <c r="P86" s="623" t="s">
        <v>1219</v>
      </c>
      <c r="Q86" s="624"/>
      <c r="R86" s="464"/>
    </row>
    <row r="87" spans="1:18" ht="11.85" customHeight="1">
      <c r="A87" s="615"/>
      <c r="B87" s="618"/>
      <c r="C87" s="618"/>
      <c r="D87" s="618"/>
      <c r="E87" s="618"/>
      <c r="F87" s="618"/>
      <c r="G87" s="618"/>
      <c r="H87" s="618"/>
      <c r="I87" s="618"/>
      <c r="J87" s="618"/>
      <c r="K87" s="618"/>
      <c r="L87" s="618"/>
      <c r="M87" s="618"/>
      <c r="N87" s="618"/>
      <c r="O87" s="618"/>
      <c r="P87" s="618"/>
      <c r="Q87" s="618"/>
      <c r="R87" s="615"/>
    </row>
    <row r="88" spans="1:18" ht="46.7" customHeight="1"/>
    <row r="89" spans="1:18" ht="46.7" customHeight="1"/>
    <row r="90" spans="1:18" ht="11.85" customHeight="1">
      <c r="A90" s="615" t="s">
        <v>1332</v>
      </c>
      <c r="B90" s="615"/>
      <c r="Q90" s="448" t="s">
        <v>1682</v>
      </c>
    </row>
    <row r="91" spans="1:18" ht="11.1" customHeight="1">
      <c r="A91" s="615" t="s">
        <v>1206</v>
      </c>
      <c r="B91" s="615"/>
    </row>
    <row r="92" spans="1:18" ht="11.85" customHeight="1">
      <c r="A92" s="619" t="s">
        <v>1334</v>
      </c>
      <c r="B92" s="619"/>
    </row>
    <row r="93" spans="1:18" ht="11.85" customHeight="1">
      <c r="A93" s="615" t="s">
        <v>1335</v>
      </c>
      <c r="B93" s="615"/>
    </row>
    <row r="94" spans="1:18" ht="11.85" customHeight="1">
      <c r="A94" s="615" t="s">
        <v>1209</v>
      </c>
      <c r="B94" s="615"/>
    </row>
    <row r="95" spans="1:18" ht="5.85" customHeight="1"/>
    <row r="96" spans="1:18" ht="11.1" customHeight="1">
      <c r="A96" s="616" t="s">
        <v>1336</v>
      </c>
      <c r="B96" s="616"/>
      <c r="C96" s="616"/>
      <c r="D96" s="616"/>
      <c r="E96" s="616"/>
      <c r="F96" s="616"/>
      <c r="G96" s="616"/>
      <c r="H96" s="449"/>
      <c r="I96" s="449"/>
      <c r="J96" s="449"/>
      <c r="K96" s="449"/>
      <c r="L96" s="449"/>
      <c r="O96" s="617" t="s">
        <v>1305</v>
      </c>
      <c r="P96" s="617"/>
      <c r="Q96" s="617"/>
    </row>
    <row r="97" spans="1:18" ht="11.85" customHeight="1">
      <c r="A97" s="609" t="s">
        <v>1683</v>
      </c>
      <c r="B97" s="597" t="s">
        <v>1337</v>
      </c>
      <c r="C97" s="599"/>
      <c r="D97" s="597" t="s">
        <v>1338</v>
      </c>
      <c r="E97" s="611" t="s">
        <v>1339</v>
      </c>
      <c r="F97" s="612"/>
      <c r="G97" s="612"/>
      <c r="H97" s="612"/>
      <c r="I97" s="612"/>
      <c r="J97" s="613"/>
      <c r="K97" s="597" t="s">
        <v>1340</v>
      </c>
      <c r="L97" s="599"/>
      <c r="M97" s="450"/>
    </row>
    <row r="98" spans="1:18" ht="17.850000000000001" customHeight="1">
      <c r="A98" s="610"/>
      <c r="B98" s="600"/>
      <c r="C98" s="601"/>
      <c r="D98" s="598"/>
      <c r="E98" s="451" t="s">
        <v>1341</v>
      </c>
      <c r="F98" s="451" t="s">
        <v>1342</v>
      </c>
      <c r="G98" s="597" t="s">
        <v>1343</v>
      </c>
      <c r="H98" s="602"/>
      <c r="I98" s="603"/>
      <c r="J98" s="451" t="s">
        <v>1344</v>
      </c>
      <c r="K98" s="600"/>
      <c r="L98" s="601"/>
      <c r="M98" s="450"/>
    </row>
    <row r="99" spans="1:18" ht="11.1" customHeight="1">
      <c r="A99" s="452" t="s">
        <v>1550</v>
      </c>
      <c r="B99" s="606" t="s">
        <v>1551</v>
      </c>
      <c r="C99" s="608"/>
      <c r="D99" s="453" t="s">
        <v>1551</v>
      </c>
      <c r="E99" s="453" t="s">
        <v>1552</v>
      </c>
      <c r="F99" s="453" t="s">
        <v>1553</v>
      </c>
      <c r="G99" s="606" t="s">
        <v>1554</v>
      </c>
      <c r="H99" s="607"/>
      <c r="I99" s="608"/>
      <c r="J99" s="453" t="s">
        <v>1219</v>
      </c>
      <c r="K99" s="606" t="s">
        <v>1556</v>
      </c>
      <c r="L99" s="608"/>
      <c r="M99" s="614"/>
      <c r="N99" s="615"/>
      <c r="O99" s="615"/>
      <c r="P99" s="615"/>
      <c r="Q99" s="615"/>
      <c r="R99" s="615"/>
    </row>
    <row r="100" spans="1:18" ht="11.85" customHeight="1">
      <c r="A100" s="454" t="s">
        <v>1684</v>
      </c>
      <c r="B100" s="589" t="s">
        <v>1685</v>
      </c>
      <c r="C100" s="591"/>
      <c r="D100" s="455" t="s">
        <v>1685</v>
      </c>
      <c r="E100" s="455" t="s">
        <v>1552</v>
      </c>
      <c r="F100" s="455" t="s">
        <v>1686</v>
      </c>
      <c r="G100" s="589" t="s">
        <v>1687</v>
      </c>
      <c r="H100" s="590"/>
      <c r="I100" s="591"/>
      <c r="J100" s="455" t="s">
        <v>1219</v>
      </c>
      <c r="K100" s="589" t="s">
        <v>1688</v>
      </c>
      <c r="L100" s="591"/>
      <c r="M100" s="614"/>
      <c r="N100" s="615"/>
      <c r="O100" s="615"/>
      <c r="P100" s="615"/>
      <c r="Q100" s="615"/>
      <c r="R100" s="615"/>
    </row>
    <row r="101" spans="1:18" ht="11.85" customHeight="1">
      <c r="A101" s="454" t="s">
        <v>1386</v>
      </c>
      <c r="B101" s="589" t="s">
        <v>1689</v>
      </c>
      <c r="C101" s="591"/>
      <c r="D101" s="455" t="s">
        <v>1689</v>
      </c>
      <c r="E101" s="455" t="s">
        <v>1690</v>
      </c>
      <c r="F101" s="455" t="s">
        <v>1691</v>
      </c>
      <c r="G101" s="589" t="s">
        <v>1692</v>
      </c>
      <c r="H101" s="590"/>
      <c r="I101" s="591"/>
      <c r="J101" s="455" t="s">
        <v>1219</v>
      </c>
      <c r="K101" s="589" t="s">
        <v>1693</v>
      </c>
      <c r="L101" s="591"/>
      <c r="M101" s="614"/>
      <c r="N101" s="615"/>
      <c r="O101" s="615"/>
      <c r="P101" s="615"/>
      <c r="Q101" s="615"/>
      <c r="R101" s="615"/>
    </row>
    <row r="102" spans="1:18" ht="11.85" customHeight="1">
      <c r="A102" s="454" t="s">
        <v>1393</v>
      </c>
      <c r="B102" s="589" t="s">
        <v>1689</v>
      </c>
      <c r="C102" s="591"/>
      <c r="D102" s="455" t="s">
        <v>1689</v>
      </c>
      <c r="E102" s="455" t="s">
        <v>1690</v>
      </c>
      <c r="F102" s="455" t="s">
        <v>1691</v>
      </c>
      <c r="G102" s="589" t="s">
        <v>1692</v>
      </c>
      <c r="H102" s="590"/>
      <c r="I102" s="591"/>
      <c r="J102" s="455" t="s">
        <v>1219</v>
      </c>
      <c r="K102" s="589" t="s">
        <v>1693</v>
      </c>
      <c r="L102" s="591"/>
      <c r="M102" s="614"/>
      <c r="N102" s="615"/>
      <c r="O102" s="615"/>
      <c r="P102" s="615"/>
      <c r="Q102" s="615"/>
      <c r="R102" s="615"/>
    </row>
    <row r="103" spans="1:18" ht="11.1" customHeight="1">
      <c r="A103" s="454" t="s">
        <v>1486</v>
      </c>
      <c r="B103" s="589" t="s">
        <v>1694</v>
      </c>
      <c r="C103" s="591"/>
      <c r="D103" s="455" t="s">
        <v>1694</v>
      </c>
      <c r="E103" s="455" t="s">
        <v>1695</v>
      </c>
      <c r="F103" s="455" t="s">
        <v>1696</v>
      </c>
      <c r="G103" s="589" t="s">
        <v>1697</v>
      </c>
      <c r="H103" s="590"/>
      <c r="I103" s="591"/>
      <c r="J103" s="455" t="s">
        <v>1219</v>
      </c>
      <c r="K103" s="589" t="s">
        <v>1698</v>
      </c>
      <c r="L103" s="591"/>
      <c r="M103" s="614"/>
      <c r="N103" s="615"/>
      <c r="O103" s="615"/>
      <c r="P103" s="615"/>
      <c r="Q103" s="615"/>
      <c r="R103" s="615"/>
    </row>
    <row r="104" spans="1:18" ht="11.85" customHeight="1">
      <c r="A104" s="454" t="s">
        <v>1507</v>
      </c>
      <c r="B104" s="589" t="s">
        <v>1694</v>
      </c>
      <c r="C104" s="591"/>
      <c r="D104" s="455" t="s">
        <v>1694</v>
      </c>
      <c r="E104" s="455" t="s">
        <v>1695</v>
      </c>
      <c r="F104" s="455" t="s">
        <v>1696</v>
      </c>
      <c r="G104" s="589" t="s">
        <v>1697</v>
      </c>
      <c r="H104" s="590"/>
      <c r="I104" s="591"/>
      <c r="J104" s="455" t="s">
        <v>1219</v>
      </c>
      <c r="K104" s="589" t="s">
        <v>1698</v>
      </c>
      <c r="L104" s="591"/>
      <c r="M104" s="614"/>
      <c r="N104" s="615"/>
      <c r="O104" s="615"/>
      <c r="P104" s="615"/>
      <c r="Q104" s="615"/>
      <c r="R104" s="615"/>
    </row>
    <row r="105" spans="1:18" ht="11.85" customHeight="1">
      <c r="A105" s="454" t="s">
        <v>1548</v>
      </c>
      <c r="B105" s="589" t="s">
        <v>1699</v>
      </c>
      <c r="C105" s="591"/>
      <c r="D105" s="455" t="s">
        <v>1699</v>
      </c>
      <c r="E105" s="455" t="s">
        <v>1219</v>
      </c>
      <c r="F105" s="455" t="s">
        <v>1219</v>
      </c>
      <c r="G105" s="589" t="s">
        <v>1700</v>
      </c>
      <c r="H105" s="590"/>
      <c r="I105" s="591"/>
      <c r="J105" s="455" t="s">
        <v>1219</v>
      </c>
      <c r="K105" s="589" t="s">
        <v>1701</v>
      </c>
      <c r="L105" s="591"/>
      <c r="M105" s="614"/>
      <c r="N105" s="615"/>
      <c r="O105" s="615"/>
      <c r="P105" s="615"/>
      <c r="Q105" s="615"/>
      <c r="R105" s="615"/>
    </row>
    <row r="106" spans="1:18" ht="11.85" customHeight="1">
      <c r="A106" s="456" t="s">
        <v>1521</v>
      </c>
      <c r="B106" s="594" t="s">
        <v>1699</v>
      </c>
      <c r="C106" s="596"/>
      <c r="D106" s="457" t="s">
        <v>1699</v>
      </c>
      <c r="E106" s="457" t="s">
        <v>1219</v>
      </c>
      <c r="F106" s="457" t="s">
        <v>1219</v>
      </c>
      <c r="G106" s="594" t="s">
        <v>1700</v>
      </c>
      <c r="H106" s="595"/>
      <c r="I106" s="596"/>
      <c r="J106" s="457" t="s">
        <v>1219</v>
      </c>
      <c r="K106" s="594" t="s">
        <v>1701</v>
      </c>
      <c r="L106" s="596"/>
      <c r="M106" s="614"/>
      <c r="N106" s="615"/>
      <c r="O106" s="615"/>
      <c r="P106" s="615"/>
      <c r="Q106" s="615"/>
      <c r="R106" s="615"/>
    </row>
    <row r="107" spans="1:18" ht="11.1" customHeight="1">
      <c r="A107" s="462"/>
      <c r="B107" s="462"/>
      <c r="C107" s="462"/>
      <c r="D107" s="462"/>
      <c r="E107" s="462"/>
      <c r="F107" s="462"/>
      <c r="G107" s="462"/>
      <c r="H107" s="462"/>
      <c r="I107" s="462"/>
      <c r="J107" s="462"/>
      <c r="K107" s="462"/>
      <c r="L107" s="462"/>
      <c r="M107" s="449"/>
      <c r="N107" s="449"/>
      <c r="O107" s="449"/>
      <c r="P107" s="449"/>
      <c r="Q107" s="449"/>
    </row>
    <row r="108" spans="1:18" ht="11.85" customHeight="1">
      <c r="A108" s="609" t="s">
        <v>1702</v>
      </c>
      <c r="B108" s="597" t="s">
        <v>1574</v>
      </c>
      <c r="C108" s="599"/>
      <c r="D108" s="597" t="s">
        <v>1575</v>
      </c>
      <c r="E108" s="611" t="s">
        <v>1576</v>
      </c>
      <c r="F108" s="612"/>
      <c r="G108" s="612"/>
      <c r="H108" s="613"/>
      <c r="I108" s="597" t="s">
        <v>1577</v>
      </c>
      <c r="J108" s="599"/>
      <c r="K108" s="611" t="s">
        <v>1578</v>
      </c>
      <c r="L108" s="612"/>
      <c r="M108" s="613"/>
      <c r="N108" s="597" t="s">
        <v>1579</v>
      </c>
      <c r="O108" s="597" t="s">
        <v>1580</v>
      </c>
      <c r="P108" s="597" t="s">
        <v>1581</v>
      </c>
      <c r="Q108" s="599"/>
      <c r="R108" s="450"/>
    </row>
    <row r="109" spans="1:18" ht="17.850000000000001" customHeight="1">
      <c r="A109" s="610"/>
      <c r="B109" s="600"/>
      <c r="C109" s="601"/>
      <c r="D109" s="598"/>
      <c r="E109" s="451" t="s">
        <v>1582</v>
      </c>
      <c r="F109" s="597" t="s">
        <v>1583</v>
      </c>
      <c r="G109" s="602"/>
      <c r="H109" s="603"/>
      <c r="I109" s="600"/>
      <c r="J109" s="601"/>
      <c r="K109" s="597" t="s">
        <v>1582</v>
      </c>
      <c r="L109" s="603"/>
      <c r="M109" s="451" t="s">
        <v>1584</v>
      </c>
      <c r="N109" s="598"/>
      <c r="O109" s="598"/>
      <c r="P109" s="600"/>
      <c r="Q109" s="601"/>
      <c r="R109" s="450"/>
    </row>
    <row r="110" spans="1:18" ht="11.85" customHeight="1">
      <c r="A110" s="452" t="s">
        <v>1656</v>
      </c>
      <c r="B110" s="604" t="s">
        <v>1657</v>
      </c>
      <c r="C110" s="605"/>
      <c r="D110" s="453" t="s">
        <v>1658</v>
      </c>
      <c r="E110" s="453" t="s">
        <v>1659</v>
      </c>
      <c r="F110" s="606" t="s">
        <v>1660</v>
      </c>
      <c r="G110" s="607"/>
      <c r="H110" s="608"/>
      <c r="I110" s="606" t="s">
        <v>1661</v>
      </c>
      <c r="J110" s="608"/>
      <c r="K110" s="606" t="s">
        <v>1659</v>
      </c>
      <c r="L110" s="608"/>
      <c r="M110" s="453" t="s">
        <v>1660</v>
      </c>
      <c r="N110" s="453" t="s">
        <v>1661</v>
      </c>
      <c r="O110" s="453" t="s">
        <v>1662</v>
      </c>
      <c r="P110" s="606" t="s">
        <v>1219</v>
      </c>
      <c r="Q110" s="608"/>
      <c r="R110" s="464"/>
    </row>
    <row r="111" spans="1:18" ht="11.1" customHeight="1">
      <c r="A111" s="454" t="s">
        <v>1595</v>
      </c>
      <c r="B111" s="587" t="s">
        <v>1703</v>
      </c>
      <c r="C111" s="588"/>
      <c r="D111" s="455" t="s">
        <v>1704</v>
      </c>
      <c r="E111" s="455" t="s">
        <v>1659</v>
      </c>
      <c r="F111" s="589" t="s">
        <v>1660</v>
      </c>
      <c r="G111" s="590"/>
      <c r="H111" s="591"/>
      <c r="I111" s="589" t="s">
        <v>1705</v>
      </c>
      <c r="J111" s="591"/>
      <c r="K111" s="589" t="s">
        <v>1659</v>
      </c>
      <c r="L111" s="591"/>
      <c r="M111" s="455" t="s">
        <v>1660</v>
      </c>
      <c r="N111" s="455" t="s">
        <v>1705</v>
      </c>
      <c r="O111" s="455" t="s">
        <v>1662</v>
      </c>
      <c r="P111" s="589" t="s">
        <v>1219</v>
      </c>
      <c r="Q111" s="591"/>
      <c r="R111" s="464"/>
    </row>
    <row r="112" spans="1:18" ht="11.85" customHeight="1">
      <c r="A112" s="454" t="s">
        <v>1605</v>
      </c>
      <c r="B112" s="587" t="s">
        <v>1706</v>
      </c>
      <c r="C112" s="588"/>
      <c r="D112" s="455" t="s">
        <v>1707</v>
      </c>
      <c r="E112" s="455" t="s">
        <v>1708</v>
      </c>
      <c r="F112" s="589" t="s">
        <v>1709</v>
      </c>
      <c r="G112" s="590"/>
      <c r="H112" s="591"/>
      <c r="I112" s="589" t="s">
        <v>1710</v>
      </c>
      <c r="J112" s="591"/>
      <c r="K112" s="589" t="s">
        <v>1708</v>
      </c>
      <c r="L112" s="591"/>
      <c r="M112" s="455" t="s">
        <v>1709</v>
      </c>
      <c r="N112" s="455" t="s">
        <v>1710</v>
      </c>
      <c r="O112" s="455" t="s">
        <v>1711</v>
      </c>
      <c r="P112" s="589" t="s">
        <v>1219</v>
      </c>
      <c r="Q112" s="591"/>
      <c r="R112" s="464"/>
    </row>
    <row r="113" spans="1:18" ht="11.85" customHeight="1">
      <c r="A113" s="454" t="s">
        <v>1615</v>
      </c>
      <c r="B113" s="587">
        <v>2</v>
      </c>
      <c r="C113" s="588"/>
      <c r="D113" s="455" t="s">
        <v>1712</v>
      </c>
      <c r="E113" s="455" t="s">
        <v>1219</v>
      </c>
      <c r="F113" s="589" t="s">
        <v>1219</v>
      </c>
      <c r="G113" s="590"/>
      <c r="H113" s="591"/>
      <c r="I113" s="589" t="s">
        <v>1712</v>
      </c>
      <c r="J113" s="591"/>
      <c r="K113" s="589" t="s">
        <v>1219</v>
      </c>
      <c r="L113" s="591"/>
      <c r="M113" s="455" t="s">
        <v>1219</v>
      </c>
      <c r="N113" s="455" t="s">
        <v>1712</v>
      </c>
      <c r="O113" s="455" t="s">
        <v>1219</v>
      </c>
      <c r="P113" s="589" t="s">
        <v>1219</v>
      </c>
      <c r="Q113" s="591"/>
      <c r="R113" s="464"/>
    </row>
    <row r="114" spans="1:18" ht="11.85" customHeight="1">
      <c r="A114" s="454" t="s">
        <v>1622</v>
      </c>
      <c r="B114" s="587" t="s">
        <v>1713</v>
      </c>
      <c r="C114" s="588"/>
      <c r="D114" s="455" t="s">
        <v>1714</v>
      </c>
      <c r="E114" s="455" t="s">
        <v>1715</v>
      </c>
      <c r="F114" s="589" t="s">
        <v>1716</v>
      </c>
      <c r="G114" s="590"/>
      <c r="H114" s="591"/>
      <c r="I114" s="589" t="s">
        <v>1717</v>
      </c>
      <c r="J114" s="591"/>
      <c r="K114" s="589" t="s">
        <v>1715</v>
      </c>
      <c r="L114" s="591"/>
      <c r="M114" s="455" t="s">
        <v>1716</v>
      </c>
      <c r="N114" s="455" t="s">
        <v>1717</v>
      </c>
      <c r="O114" s="455" t="s">
        <v>1718</v>
      </c>
      <c r="P114" s="589" t="s">
        <v>1219</v>
      </c>
      <c r="Q114" s="591"/>
      <c r="R114" s="464"/>
    </row>
    <row r="115" spans="1:18" ht="11.1" customHeight="1">
      <c r="A115" s="454" t="s">
        <v>1632</v>
      </c>
      <c r="B115" s="587">
        <v>44</v>
      </c>
      <c r="C115" s="588"/>
      <c r="D115" s="455" t="s">
        <v>1719</v>
      </c>
      <c r="E115" s="455" t="s">
        <v>1219</v>
      </c>
      <c r="F115" s="589" t="s">
        <v>1219</v>
      </c>
      <c r="G115" s="590"/>
      <c r="H115" s="591"/>
      <c r="I115" s="589" t="s">
        <v>1719</v>
      </c>
      <c r="J115" s="591"/>
      <c r="K115" s="589" t="s">
        <v>1219</v>
      </c>
      <c r="L115" s="591"/>
      <c r="M115" s="455" t="s">
        <v>1219</v>
      </c>
      <c r="N115" s="455" t="s">
        <v>1719</v>
      </c>
      <c r="O115" s="455" t="s">
        <v>1219</v>
      </c>
      <c r="P115" s="589" t="s">
        <v>1219</v>
      </c>
      <c r="Q115" s="591"/>
      <c r="R115" s="464"/>
    </row>
    <row r="116" spans="1:18" ht="11.85" customHeight="1">
      <c r="A116" s="456" t="s">
        <v>1650</v>
      </c>
      <c r="B116" s="592">
        <v>44</v>
      </c>
      <c r="C116" s="593"/>
      <c r="D116" s="457" t="s">
        <v>1719</v>
      </c>
      <c r="E116" s="457" t="s">
        <v>1219</v>
      </c>
      <c r="F116" s="594" t="s">
        <v>1219</v>
      </c>
      <c r="G116" s="595"/>
      <c r="H116" s="596"/>
      <c r="I116" s="594" t="s">
        <v>1719</v>
      </c>
      <c r="J116" s="596"/>
      <c r="K116" s="594" t="s">
        <v>1219</v>
      </c>
      <c r="L116" s="596"/>
      <c r="M116" s="457" t="s">
        <v>1219</v>
      </c>
      <c r="N116" s="457" t="s">
        <v>1719</v>
      </c>
      <c r="O116" s="457" t="s">
        <v>1219</v>
      </c>
      <c r="P116" s="594" t="s">
        <v>1219</v>
      </c>
      <c r="Q116" s="596"/>
      <c r="R116" s="464"/>
    </row>
    <row r="117" spans="1:18" ht="11.85" customHeight="1">
      <c r="A117" s="585" t="s">
        <v>1720</v>
      </c>
      <c r="B117" s="585"/>
      <c r="C117" s="585"/>
      <c r="D117" s="585"/>
      <c r="E117" s="585"/>
      <c r="F117" s="585"/>
      <c r="G117" s="585"/>
      <c r="H117" s="585"/>
      <c r="I117" s="585"/>
      <c r="J117" s="585"/>
      <c r="K117" s="585"/>
      <c r="L117" s="469"/>
      <c r="M117" s="469"/>
      <c r="N117" s="469"/>
      <c r="O117" s="469"/>
      <c r="P117" s="469"/>
      <c r="Q117" s="469"/>
    </row>
    <row r="118" spans="1:18" ht="11.85" customHeight="1">
      <c r="A118" s="586" t="s">
        <v>1721</v>
      </c>
      <c r="B118" s="586"/>
      <c r="C118" s="586"/>
      <c r="D118" s="586"/>
      <c r="E118" s="586"/>
      <c r="F118" s="586"/>
      <c r="G118" s="586"/>
      <c r="H118" s="586"/>
      <c r="I118" s="586"/>
      <c r="J118" s="586"/>
      <c r="K118" s="586"/>
    </row>
    <row r="119" spans="1:18" ht="5.0999999999999996" customHeight="1"/>
    <row r="120" spans="1:18" ht="5.85" customHeight="1"/>
    <row r="121" spans="1:18" ht="11.85" customHeight="1"/>
    <row r="122" spans="1:18" ht="17.850000000000001" customHeight="1"/>
    <row r="123" spans="1:18" ht="11.1" customHeight="1"/>
    <row r="124" spans="1:18" ht="74.099999999999994" customHeight="1"/>
    <row r="125" spans="1:18" ht="41.45" customHeight="1"/>
    <row r="126" spans="1:18" ht="42.2" customHeight="1"/>
  </sheetData>
  <mergeCells count="361">
    <mergeCell ref="O7:Q7"/>
    <mergeCell ref="A8:A9"/>
    <mergeCell ref="B8:C9"/>
    <mergeCell ref="D8:D9"/>
    <mergeCell ref="E8:J8"/>
    <mergeCell ref="K8:L9"/>
    <mergeCell ref="G9:I9"/>
    <mergeCell ref="A1:B1"/>
    <mergeCell ref="A2:B2"/>
    <mergeCell ref="A3:B3"/>
    <mergeCell ref="A4:B4"/>
    <mergeCell ref="A5:B5"/>
    <mergeCell ref="A7:G7"/>
    <mergeCell ref="B12:C12"/>
    <mergeCell ref="G12:I12"/>
    <mergeCell ref="K12:L12"/>
    <mergeCell ref="B13:C13"/>
    <mergeCell ref="G13:I13"/>
    <mergeCell ref="K13:L13"/>
    <mergeCell ref="B10:C10"/>
    <mergeCell ref="G10:I10"/>
    <mergeCell ref="K10:L10"/>
    <mergeCell ref="B11:C11"/>
    <mergeCell ref="G11:I11"/>
    <mergeCell ref="K11:L11"/>
    <mergeCell ref="B16:C16"/>
    <mergeCell ref="G16:I16"/>
    <mergeCell ref="K16:L16"/>
    <mergeCell ref="B17:C17"/>
    <mergeCell ref="G17:I17"/>
    <mergeCell ref="K17:L17"/>
    <mergeCell ref="B14:C14"/>
    <mergeCell ref="G14:I14"/>
    <mergeCell ref="K14:L14"/>
    <mergeCell ref="B15:C15"/>
    <mergeCell ref="G15:I15"/>
    <mergeCell ref="K15:L15"/>
    <mergeCell ref="B20:C20"/>
    <mergeCell ref="G20:I20"/>
    <mergeCell ref="K20:L20"/>
    <mergeCell ref="B21:C21"/>
    <mergeCell ref="G21:I21"/>
    <mergeCell ref="K21:L21"/>
    <mergeCell ref="B18:C18"/>
    <mergeCell ref="G18:I18"/>
    <mergeCell ref="K18:L18"/>
    <mergeCell ref="B19:C19"/>
    <mergeCell ref="G19:I19"/>
    <mergeCell ref="K19:L19"/>
    <mergeCell ref="B24:C24"/>
    <mergeCell ref="G24:I24"/>
    <mergeCell ref="K24:L24"/>
    <mergeCell ref="B25:C25"/>
    <mergeCell ref="G25:I25"/>
    <mergeCell ref="K25:L25"/>
    <mergeCell ref="B22:C22"/>
    <mergeCell ref="G22:I22"/>
    <mergeCell ref="K22:L22"/>
    <mergeCell ref="B23:C23"/>
    <mergeCell ref="G23:I23"/>
    <mergeCell ref="K23:L23"/>
    <mergeCell ref="B28:C28"/>
    <mergeCell ref="G28:I28"/>
    <mergeCell ref="K28:L28"/>
    <mergeCell ref="B29:C29"/>
    <mergeCell ref="G29:I29"/>
    <mergeCell ref="K29:L29"/>
    <mergeCell ref="B26:C26"/>
    <mergeCell ref="G26:I26"/>
    <mergeCell ref="K26:L26"/>
    <mergeCell ref="B27:C27"/>
    <mergeCell ref="G27:I27"/>
    <mergeCell ref="K27:L27"/>
    <mergeCell ref="B32:C32"/>
    <mergeCell ref="G32:I32"/>
    <mergeCell ref="K32:L32"/>
    <mergeCell ref="B33:C33"/>
    <mergeCell ref="G33:I33"/>
    <mergeCell ref="K33:L33"/>
    <mergeCell ref="B30:C30"/>
    <mergeCell ref="G30:I30"/>
    <mergeCell ref="K30:L30"/>
    <mergeCell ref="B31:C31"/>
    <mergeCell ref="G31:I31"/>
    <mergeCell ref="K31:L31"/>
    <mergeCell ref="B36:C36"/>
    <mergeCell ref="G36:I36"/>
    <mergeCell ref="K36:L36"/>
    <mergeCell ref="B37:C37"/>
    <mergeCell ref="G37:I37"/>
    <mergeCell ref="K37:L37"/>
    <mergeCell ref="B34:C34"/>
    <mergeCell ref="G34:I34"/>
    <mergeCell ref="K34:L34"/>
    <mergeCell ref="B35:C35"/>
    <mergeCell ref="G35:I35"/>
    <mergeCell ref="K35:L35"/>
    <mergeCell ref="B40:C40"/>
    <mergeCell ref="G40:I40"/>
    <mergeCell ref="K40:L40"/>
    <mergeCell ref="B41:C41"/>
    <mergeCell ref="G41:I41"/>
    <mergeCell ref="K41:L41"/>
    <mergeCell ref="B38:C38"/>
    <mergeCell ref="G38:I38"/>
    <mergeCell ref="K38:L38"/>
    <mergeCell ref="B39:C39"/>
    <mergeCell ref="G39:I39"/>
    <mergeCell ref="K39:L39"/>
    <mergeCell ref="B44:C44"/>
    <mergeCell ref="G44:I44"/>
    <mergeCell ref="K44:L44"/>
    <mergeCell ref="B45:C45"/>
    <mergeCell ref="G45:I45"/>
    <mergeCell ref="K45:L45"/>
    <mergeCell ref="B42:C42"/>
    <mergeCell ref="G42:I42"/>
    <mergeCell ref="K42:L42"/>
    <mergeCell ref="B43:C43"/>
    <mergeCell ref="G43:I43"/>
    <mergeCell ref="K43:L43"/>
    <mergeCell ref="A49:B49"/>
    <mergeCell ref="A50:B50"/>
    <mergeCell ref="A51:B51"/>
    <mergeCell ref="A52:B52"/>
    <mergeCell ref="A53:B53"/>
    <mergeCell ref="A55:G55"/>
    <mergeCell ref="B46:C46"/>
    <mergeCell ref="G46:I46"/>
    <mergeCell ref="K46:L46"/>
    <mergeCell ref="B47:C47"/>
    <mergeCell ref="G47:I47"/>
    <mergeCell ref="K47:L47"/>
    <mergeCell ref="B58:C58"/>
    <mergeCell ref="G58:I58"/>
    <mergeCell ref="K58:L58"/>
    <mergeCell ref="B59:C59"/>
    <mergeCell ref="G59:I59"/>
    <mergeCell ref="K59:L59"/>
    <mergeCell ref="O55:Q55"/>
    <mergeCell ref="A56:A57"/>
    <mergeCell ref="B56:C57"/>
    <mergeCell ref="D56:D57"/>
    <mergeCell ref="E56:J56"/>
    <mergeCell ref="K56:L57"/>
    <mergeCell ref="G57:I57"/>
    <mergeCell ref="B62:C62"/>
    <mergeCell ref="G62:I62"/>
    <mergeCell ref="K62:L62"/>
    <mergeCell ref="B63:C63"/>
    <mergeCell ref="G63:I63"/>
    <mergeCell ref="K63:L63"/>
    <mergeCell ref="B60:C60"/>
    <mergeCell ref="G60:I60"/>
    <mergeCell ref="K60:L60"/>
    <mergeCell ref="B61:C61"/>
    <mergeCell ref="G61:I61"/>
    <mergeCell ref="K61:L61"/>
    <mergeCell ref="B64:C64"/>
    <mergeCell ref="G64:I64"/>
    <mergeCell ref="K64:L64"/>
    <mergeCell ref="A66:A67"/>
    <mergeCell ref="B66:C67"/>
    <mergeCell ref="D66:D67"/>
    <mergeCell ref="E66:H66"/>
    <mergeCell ref="I66:J67"/>
    <mergeCell ref="K66:M66"/>
    <mergeCell ref="N66:N67"/>
    <mergeCell ref="O66:O67"/>
    <mergeCell ref="P66:Q67"/>
    <mergeCell ref="F67:H67"/>
    <mergeCell ref="K67:L67"/>
    <mergeCell ref="B68:C68"/>
    <mergeCell ref="F68:H68"/>
    <mergeCell ref="I68:J68"/>
    <mergeCell ref="K68:L68"/>
    <mergeCell ref="P68:Q68"/>
    <mergeCell ref="B69:C69"/>
    <mergeCell ref="F69:H69"/>
    <mergeCell ref="I69:J69"/>
    <mergeCell ref="K69:L69"/>
    <mergeCell ref="P69:Q69"/>
    <mergeCell ref="B70:C70"/>
    <mergeCell ref="F70:H70"/>
    <mergeCell ref="I70:J70"/>
    <mergeCell ref="K70:L70"/>
    <mergeCell ref="P70:Q70"/>
    <mergeCell ref="B71:C71"/>
    <mergeCell ref="F71:H71"/>
    <mergeCell ref="I71:J71"/>
    <mergeCell ref="K71:L71"/>
    <mergeCell ref="P71:Q71"/>
    <mergeCell ref="B72:C72"/>
    <mergeCell ref="F72:H72"/>
    <mergeCell ref="I72:J72"/>
    <mergeCell ref="K72:L72"/>
    <mergeCell ref="P72:Q72"/>
    <mergeCell ref="B73:C73"/>
    <mergeCell ref="F73:H73"/>
    <mergeCell ref="I73:J73"/>
    <mergeCell ref="K73:L73"/>
    <mergeCell ref="P73:Q73"/>
    <mergeCell ref="B74:C74"/>
    <mergeCell ref="F74:H74"/>
    <mergeCell ref="I74:J74"/>
    <mergeCell ref="K74:L74"/>
    <mergeCell ref="P74:Q74"/>
    <mergeCell ref="B75:C75"/>
    <mergeCell ref="F75:H75"/>
    <mergeCell ref="I75:J75"/>
    <mergeCell ref="K75:L75"/>
    <mergeCell ref="P75:Q75"/>
    <mergeCell ref="B76:C76"/>
    <mergeCell ref="F76:H76"/>
    <mergeCell ref="I76:J76"/>
    <mergeCell ref="K76:L76"/>
    <mergeCell ref="P76:Q76"/>
    <mergeCell ref="B77:C77"/>
    <mergeCell ref="F77:H77"/>
    <mergeCell ref="I77:J77"/>
    <mergeCell ref="K77:L77"/>
    <mergeCell ref="P77:Q77"/>
    <mergeCell ref="B78:C78"/>
    <mergeCell ref="F78:H78"/>
    <mergeCell ref="I78:J78"/>
    <mergeCell ref="K78:L78"/>
    <mergeCell ref="P78:Q78"/>
    <mergeCell ref="B79:C79"/>
    <mergeCell ref="F79:H79"/>
    <mergeCell ref="I79:J79"/>
    <mergeCell ref="K79:L79"/>
    <mergeCell ref="P79:Q79"/>
    <mergeCell ref="B80:C80"/>
    <mergeCell ref="F80:H80"/>
    <mergeCell ref="I80:J80"/>
    <mergeCell ref="K80:L80"/>
    <mergeCell ref="P80:Q80"/>
    <mergeCell ref="B81:C81"/>
    <mergeCell ref="F81:H81"/>
    <mergeCell ref="I81:J81"/>
    <mergeCell ref="K81:L81"/>
    <mergeCell ref="P81:Q81"/>
    <mergeCell ref="B82:C82"/>
    <mergeCell ref="F82:H82"/>
    <mergeCell ref="I82:J82"/>
    <mergeCell ref="K82:L82"/>
    <mergeCell ref="P82:Q82"/>
    <mergeCell ref="B83:C83"/>
    <mergeCell ref="F83:H83"/>
    <mergeCell ref="I83:J83"/>
    <mergeCell ref="K83:L83"/>
    <mergeCell ref="P83:Q83"/>
    <mergeCell ref="B84:C84"/>
    <mergeCell ref="F84:H84"/>
    <mergeCell ref="I84:J84"/>
    <mergeCell ref="K84:L84"/>
    <mergeCell ref="P84:Q84"/>
    <mergeCell ref="A87:R87"/>
    <mergeCell ref="A90:B90"/>
    <mergeCell ref="A91:B91"/>
    <mergeCell ref="A92:B92"/>
    <mergeCell ref="A93:B93"/>
    <mergeCell ref="A94:B94"/>
    <mergeCell ref="B85:C85"/>
    <mergeCell ref="F85:H85"/>
    <mergeCell ref="I85:J85"/>
    <mergeCell ref="K85:L85"/>
    <mergeCell ref="P85:Q85"/>
    <mergeCell ref="B86:C86"/>
    <mergeCell ref="F86:H86"/>
    <mergeCell ref="I86:J86"/>
    <mergeCell ref="K86:L86"/>
    <mergeCell ref="P86:Q86"/>
    <mergeCell ref="B99:C99"/>
    <mergeCell ref="G99:I99"/>
    <mergeCell ref="K99:L99"/>
    <mergeCell ref="M99:R99"/>
    <mergeCell ref="B100:C100"/>
    <mergeCell ref="G100:I100"/>
    <mergeCell ref="K100:L100"/>
    <mergeCell ref="M100:R100"/>
    <mergeCell ref="A96:G96"/>
    <mergeCell ref="O96:Q96"/>
    <mergeCell ref="A97:A98"/>
    <mergeCell ref="B97:C98"/>
    <mergeCell ref="D97:D98"/>
    <mergeCell ref="E97:J97"/>
    <mergeCell ref="K97:L98"/>
    <mergeCell ref="G98:I98"/>
    <mergeCell ref="B103:C103"/>
    <mergeCell ref="G103:I103"/>
    <mergeCell ref="K103:L103"/>
    <mergeCell ref="M103:R103"/>
    <mergeCell ref="B104:C104"/>
    <mergeCell ref="G104:I104"/>
    <mergeCell ref="K104:L104"/>
    <mergeCell ref="M104:R104"/>
    <mergeCell ref="B101:C101"/>
    <mergeCell ref="G101:I101"/>
    <mergeCell ref="K101:L101"/>
    <mergeCell ref="M101:R101"/>
    <mergeCell ref="B102:C102"/>
    <mergeCell ref="G102:I102"/>
    <mergeCell ref="K102:L102"/>
    <mergeCell ref="M102:R102"/>
    <mergeCell ref="A108:A109"/>
    <mergeCell ref="B108:C109"/>
    <mergeCell ref="D108:D109"/>
    <mergeCell ref="E108:H108"/>
    <mergeCell ref="I108:J109"/>
    <mergeCell ref="K108:M108"/>
    <mergeCell ref="B105:C105"/>
    <mergeCell ref="G105:I105"/>
    <mergeCell ref="K105:L105"/>
    <mergeCell ref="M105:R105"/>
    <mergeCell ref="B106:C106"/>
    <mergeCell ref="G106:I106"/>
    <mergeCell ref="K106:L106"/>
    <mergeCell ref="M106:R106"/>
    <mergeCell ref="N108:N109"/>
    <mergeCell ref="O108:O109"/>
    <mergeCell ref="P108:Q109"/>
    <mergeCell ref="F109:H109"/>
    <mergeCell ref="K109:L109"/>
    <mergeCell ref="B110:C110"/>
    <mergeCell ref="F110:H110"/>
    <mergeCell ref="I110:J110"/>
    <mergeCell ref="K110:L110"/>
    <mergeCell ref="P110:Q110"/>
    <mergeCell ref="B111:C111"/>
    <mergeCell ref="F111:H111"/>
    <mergeCell ref="I111:J111"/>
    <mergeCell ref="K111:L111"/>
    <mergeCell ref="P111:Q111"/>
    <mergeCell ref="B112:C112"/>
    <mergeCell ref="F112:H112"/>
    <mergeCell ref="I112:J112"/>
    <mergeCell ref="K112:L112"/>
    <mergeCell ref="P112:Q112"/>
    <mergeCell ref="B113:C113"/>
    <mergeCell ref="F113:H113"/>
    <mergeCell ref="I113:J113"/>
    <mergeCell ref="K113:L113"/>
    <mergeCell ref="P113:Q113"/>
    <mergeCell ref="B114:C114"/>
    <mergeCell ref="F114:H114"/>
    <mergeCell ref="I114:J114"/>
    <mergeCell ref="K114:L114"/>
    <mergeCell ref="P114:Q114"/>
    <mergeCell ref="A117:K117"/>
    <mergeCell ref="A118:K118"/>
    <mergeCell ref="B115:C115"/>
    <mergeCell ref="F115:H115"/>
    <mergeCell ref="I115:J115"/>
    <mergeCell ref="K115:L115"/>
    <mergeCell ref="P115:Q115"/>
    <mergeCell ref="B116:C116"/>
    <mergeCell ref="F116:H116"/>
    <mergeCell ref="I116:J116"/>
    <mergeCell ref="K116:L116"/>
    <mergeCell ref="P116:Q116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65536"/>
  <sheetViews>
    <sheetView workbookViewId="0">
      <selection activeCell="D37" sqref="D37"/>
    </sheetView>
  </sheetViews>
  <sheetFormatPr defaultRowHeight="15"/>
  <cols>
    <col min="1" max="1" width="1.7109375" customWidth="1"/>
    <col min="2" max="2" width="28.7109375" customWidth="1"/>
    <col min="3" max="4" width="11.7109375" bestFit="1" customWidth="1"/>
    <col min="5" max="6" width="10.85546875" bestFit="1" customWidth="1"/>
    <col min="7" max="7" width="7.7109375" bestFit="1" customWidth="1"/>
    <col min="8" max="10" width="10.85546875" bestFit="1" customWidth="1"/>
    <col min="11" max="11" width="7.85546875" bestFit="1" customWidth="1"/>
    <col min="12" max="12" width="10.85546875" bestFit="1" customWidth="1"/>
    <col min="256" max="256" width="93.42578125" customWidth="1"/>
  </cols>
  <sheetData>
    <row r="1" spans="1:12">
      <c r="A1" s="582" t="s">
        <v>1205</v>
      </c>
      <c r="B1" s="582"/>
      <c r="C1" s="582"/>
      <c r="D1" s="582"/>
      <c r="E1" s="582"/>
      <c r="F1" s="582"/>
      <c r="G1" s="582"/>
      <c r="H1" s="582"/>
      <c r="I1" s="582"/>
      <c r="J1" s="582"/>
      <c r="K1" s="582"/>
      <c r="L1" s="582"/>
    </row>
    <row r="2" spans="1:12">
      <c r="A2" s="582" t="s">
        <v>1722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  <c r="L2" s="582"/>
    </row>
    <row r="3" spans="1:12">
      <c r="A3" s="583" t="s">
        <v>1723</v>
      </c>
      <c r="B3" s="583"/>
      <c r="C3" s="583"/>
      <c r="D3" s="583"/>
      <c r="E3" s="583"/>
      <c r="F3" s="583"/>
      <c r="G3" s="583"/>
      <c r="H3" s="583"/>
      <c r="I3" s="583"/>
      <c r="J3" s="583"/>
      <c r="K3" s="583"/>
      <c r="L3" s="583"/>
    </row>
    <row r="4" spans="1:12">
      <c r="A4" s="582" t="s">
        <v>1335</v>
      </c>
      <c r="B4" s="582"/>
      <c r="C4" s="582"/>
      <c r="D4" s="582"/>
      <c r="E4" s="582"/>
      <c r="F4" s="582"/>
      <c r="G4" s="582"/>
      <c r="H4" s="582"/>
      <c r="I4" s="582"/>
      <c r="J4" s="582"/>
      <c r="K4" s="582"/>
      <c r="L4" s="582"/>
    </row>
    <row r="5" spans="1:12">
      <c r="A5" s="582" t="s">
        <v>1209</v>
      </c>
      <c r="B5" s="582"/>
      <c r="C5" s="582"/>
      <c r="D5" s="582"/>
      <c r="E5" s="582"/>
      <c r="F5" s="582"/>
      <c r="G5" s="582"/>
      <c r="H5" s="582"/>
      <c r="I5" s="582"/>
      <c r="J5" s="582"/>
      <c r="K5" s="582"/>
      <c r="L5" s="582"/>
    </row>
    <row r="7" spans="1:12">
      <c r="A7" s="582" t="s">
        <v>1724</v>
      </c>
      <c r="B7" s="582"/>
      <c r="C7" s="582"/>
      <c r="D7" s="582"/>
      <c r="E7" s="582"/>
      <c r="L7" s="434" t="s">
        <v>1305</v>
      </c>
    </row>
    <row r="8" spans="1:12">
      <c r="A8" s="642" t="s">
        <v>1725</v>
      </c>
      <c r="B8" s="643"/>
      <c r="C8" s="470" t="s">
        <v>1726</v>
      </c>
      <c r="D8" s="470" t="s">
        <v>1726</v>
      </c>
      <c r="E8" s="648" t="s">
        <v>1224</v>
      </c>
      <c r="F8" s="648"/>
      <c r="G8" s="648"/>
      <c r="H8" s="470" t="s">
        <v>1727</v>
      </c>
      <c r="I8" s="648" t="s">
        <v>1225</v>
      </c>
      <c r="J8" s="648"/>
      <c r="K8" s="648"/>
      <c r="L8" s="471" t="s">
        <v>1728</v>
      </c>
    </row>
    <row r="9" spans="1:12">
      <c r="A9" s="644"/>
      <c r="B9" s="645"/>
      <c r="C9" s="472" t="s">
        <v>1729</v>
      </c>
      <c r="D9" s="472" t="s">
        <v>1730</v>
      </c>
      <c r="E9" s="472" t="s">
        <v>1582</v>
      </c>
      <c r="F9" s="472" t="s">
        <v>1244</v>
      </c>
      <c r="G9" s="472" t="s">
        <v>314</v>
      </c>
      <c r="H9" s="472" t="s">
        <v>1731</v>
      </c>
      <c r="I9" s="472" t="s">
        <v>1582</v>
      </c>
      <c r="J9" s="472" t="s">
        <v>1244</v>
      </c>
      <c r="K9" s="472" t="s">
        <v>314</v>
      </c>
      <c r="L9" s="473" t="s">
        <v>1731</v>
      </c>
    </row>
    <row r="10" spans="1:12">
      <c r="A10" s="646"/>
      <c r="B10" s="647"/>
      <c r="C10" s="474" t="s">
        <v>1731</v>
      </c>
      <c r="D10" s="474" t="s">
        <v>1246</v>
      </c>
      <c r="E10" s="474" t="s">
        <v>1731</v>
      </c>
      <c r="F10" s="474" t="s">
        <v>1247</v>
      </c>
      <c r="G10" s="474" t="s">
        <v>1732</v>
      </c>
      <c r="H10" s="474" t="s">
        <v>1733</v>
      </c>
      <c r="I10" s="474" t="s">
        <v>1731</v>
      </c>
      <c r="J10" s="474" t="s">
        <v>1734</v>
      </c>
      <c r="K10" s="474" t="s">
        <v>1735</v>
      </c>
      <c r="L10" s="475" t="s">
        <v>1736</v>
      </c>
    </row>
    <row r="12" spans="1:12">
      <c r="A12" s="476" t="s">
        <v>1737</v>
      </c>
      <c r="B12" s="26"/>
      <c r="C12" s="477">
        <v>110886712.01000001</v>
      </c>
      <c r="D12" s="477">
        <v>116423501.40000001</v>
      </c>
      <c r="E12" s="477">
        <v>16140534.949999999</v>
      </c>
      <c r="F12" s="477">
        <v>57106629.539999999</v>
      </c>
      <c r="G12" s="477">
        <v>83.5</v>
      </c>
      <c r="H12" s="477">
        <v>59316871.859999999</v>
      </c>
      <c r="I12" s="477">
        <v>17950321.789999999</v>
      </c>
      <c r="J12" s="477">
        <v>51235435.920000002</v>
      </c>
      <c r="K12" s="477">
        <v>81.95</v>
      </c>
      <c r="L12" s="478">
        <v>65188065.479999997</v>
      </c>
    </row>
    <row r="13" spans="1:12">
      <c r="A13" s="635" t="s">
        <v>1738</v>
      </c>
      <c r="B13" s="636"/>
      <c r="C13" s="479">
        <v>3687000</v>
      </c>
      <c r="D13" s="479">
        <v>3687000</v>
      </c>
      <c r="E13" s="479">
        <v>506594.83</v>
      </c>
      <c r="F13" s="479">
        <v>1780660.64</v>
      </c>
      <c r="G13" s="480">
        <v>2.6</v>
      </c>
      <c r="H13" s="479">
        <v>1906339.36</v>
      </c>
      <c r="I13" s="479">
        <v>547205.28</v>
      </c>
      <c r="J13" s="479">
        <v>1587044.39</v>
      </c>
      <c r="K13" s="479">
        <v>2.54</v>
      </c>
      <c r="L13" s="481">
        <v>2099955.61</v>
      </c>
    </row>
    <row r="14" spans="1:12">
      <c r="B14" s="437" t="s">
        <v>1739</v>
      </c>
      <c r="C14" s="479">
        <v>3329000</v>
      </c>
      <c r="D14" s="479">
        <v>3329000</v>
      </c>
      <c r="E14" s="479">
        <v>455592.86</v>
      </c>
      <c r="F14" s="479">
        <v>1627268.75</v>
      </c>
      <c r="G14" s="480">
        <v>2.38</v>
      </c>
      <c r="H14" s="479">
        <v>1701731.25</v>
      </c>
      <c r="I14" s="479">
        <v>496203.31</v>
      </c>
      <c r="J14" s="479">
        <v>1433652.5</v>
      </c>
      <c r="K14" s="480">
        <v>2.29</v>
      </c>
      <c r="L14" s="481">
        <v>1895347.5</v>
      </c>
    </row>
    <row r="15" spans="1:12">
      <c r="B15" s="437" t="s">
        <v>1740</v>
      </c>
      <c r="C15" s="479">
        <v>358000</v>
      </c>
      <c r="D15" s="479">
        <v>358000</v>
      </c>
      <c r="E15" s="479">
        <v>51001.97</v>
      </c>
      <c r="F15" s="479">
        <v>153391.89000000001</v>
      </c>
      <c r="G15" s="480">
        <v>0.22</v>
      </c>
      <c r="H15" s="479">
        <v>204608.11</v>
      </c>
      <c r="I15" s="479">
        <v>51001.97</v>
      </c>
      <c r="J15" s="479">
        <v>153391.89000000001</v>
      </c>
      <c r="K15" s="480">
        <v>0.25</v>
      </c>
      <c r="L15" s="481">
        <v>204608.11</v>
      </c>
    </row>
    <row r="16" spans="1:12">
      <c r="A16" s="635" t="s">
        <v>1741</v>
      </c>
      <c r="B16" s="636"/>
      <c r="C16" s="479">
        <v>11713</v>
      </c>
      <c r="D16" s="479">
        <v>11713</v>
      </c>
      <c r="E16" s="479">
        <v>0</v>
      </c>
      <c r="F16" s="479">
        <v>1878.83</v>
      </c>
      <c r="G16" s="480">
        <v>0</v>
      </c>
      <c r="H16" s="479">
        <v>9834.17</v>
      </c>
      <c r="I16" s="479">
        <v>349</v>
      </c>
      <c r="J16" s="479">
        <v>1878.83</v>
      </c>
      <c r="K16" s="479">
        <v>0</v>
      </c>
      <c r="L16" s="481">
        <v>9834.17</v>
      </c>
    </row>
    <row r="17" spans="1:12">
      <c r="B17" s="437" t="s">
        <v>1742</v>
      </c>
      <c r="C17" s="479">
        <v>11713</v>
      </c>
      <c r="D17" s="479">
        <v>11713</v>
      </c>
      <c r="E17" s="479">
        <v>0</v>
      </c>
      <c r="F17" s="479">
        <v>1878.83</v>
      </c>
      <c r="G17" s="480">
        <v>0</v>
      </c>
      <c r="H17" s="479">
        <v>9834.17</v>
      </c>
      <c r="I17" s="479">
        <v>349</v>
      </c>
      <c r="J17" s="479">
        <v>1878.83</v>
      </c>
      <c r="K17" s="480">
        <v>0</v>
      </c>
      <c r="L17" s="481">
        <v>9834.17</v>
      </c>
    </row>
    <row r="18" spans="1:12">
      <c r="A18" s="635" t="s">
        <v>1743</v>
      </c>
      <c r="B18" s="636"/>
      <c r="C18" s="479">
        <v>17377146.699999999</v>
      </c>
      <c r="D18" s="479">
        <v>17378846.239999998</v>
      </c>
      <c r="E18" s="479">
        <v>2352663.2400000002</v>
      </c>
      <c r="F18" s="479">
        <v>8719320.1600000001</v>
      </c>
      <c r="G18" s="480">
        <v>12.75</v>
      </c>
      <c r="H18" s="479">
        <v>8659526.0800000001</v>
      </c>
      <c r="I18" s="479">
        <v>2591710.2999999998</v>
      </c>
      <c r="J18" s="479">
        <v>7627846.9900000002</v>
      </c>
      <c r="K18" s="479">
        <v>12.2</v>
      </c>
      <c r="L18" s="481">
        <v>9750999.25</v>
      </c>
    </row>
    <row r="19" spans="1:12">
      <c r="B19" s="437" t="s">
        <v>1744</v>
      </c>
      <c r="C19" s="479">
        <v>14371288.51</v>
      </c>
      <c r="D19" s="479">
        <v>14367357.01</v>
      </c>
      <c r="E19" s="479">
        <v>1902133.34</v>
      </c>
      <c r="F19" s="479">
        <v>7222069.4000000004</v>
      </c>
      <c r="G19" s="480">
        <v>10.56</v>
      </c>
      <c r="H19" s="479">
        <v>7145287.6100000003</v>
      </c>
      <c r="I19" s="479">
        <v>2147282.86</v>
      </c>
      <c r="J19" s="479">
        <v>6289424.71</v>
      </c>
      <c r="K19" s="480">
        <v>10.06</v>
      </c>
      <c r="L19" s="481">
        <v>8077932.2999999998</v>
      </c>
    </row>
    <row r="20" spans="1:12">
      <c r="B20" s="437" t="s">
        <v>1745</v>
      </c>
      <c r="C20" s="479">
        <v>54000</v>
      </c>
      <c r="D20" s="479">
        <v>54000</v>
      </c>
      <c r="E20" s="479">
        <v>0</v>
      </c>
      <c r="F20" s="479">
        <v>0</v>
      </c>
      <c r="G20" s="480">
        <v>0</v>
      </c>
      <c r="H20" s="479">
        <v>54000</v>
      </c>
      <c r="I20" s="479">
        <v>0</v>
      </c>
      <c r="J20" s="479">
        <v>0</v>
      </c>
      <c r="K20" s="480">
        <v>0</v>
      </c>
      <c r="L20" s="481">
        <v>54000</v>
      </c>
    </row>
    <row r="21" spans="1:12">
      <c r="B21" s="437" t="s">
        <v>1746</v>
      </c>
      <c r="C21" s="479">
        <v>5000</v>
      </c>
      <c r="D21" s="479">
        <v>5000</v>
      </c>
      <c r="E21" s="479">
        <v>0</v>
      </c>
      <c r="F21" s="479">
        <v>0</v>
      </c>
      <c r="G21" s="480">
        <v>0</v>
      </c>
      <c r="H21" s="479">
        <v>5000</v>
      </c>
      <c r="I21" s="479">
        <v>0</v>
      </c>
      <c r="J21" s="479">
        <v>0</v>
      </c>
      <c r="K21" s="480">
        <v>0</v>
      </c>
      <c r="L21" s="481">
        <v>5000</v>
      </c>
    </row>
    <row r="22" spans="1:12">
      <c r="B22" s="437" t="s">
        <v>1747</v>
      </c>
      <c r="C22" s="479">
        <v>1000</v>
      </c>
      <c r="D22" s="479">
        <v>1000</v>
      </c>
      <c r="E22" s="479">
        <v>0</v>
      </c>
      <c r="F22" s="479">
        <v>0</v>
      </c>
      <c r="G22" s="480">
        <v>0</v>
      </c>
      <c r="H22" s="479">
        <v>1000</v>
      </c>
      <c r="I22" s="479">
        <v>0</v>
      </c>
      <c r="J22" s="479">
        <v>0</v>
      </c>
      <c r="K22" s="480">
        <v>0</v>
      </c>
      <c r="L22" s="481">
        <v>1000</v>
      </c>
    </row>
    <row r="23" spans="1:12">
      <c r="B23" s="437" t="s">
        <v>1748</v>
      </c>
      <c r="C23" s="479">
        <v>107999</v>
      </c>
      <c r="D23" s="479">
        <v>107999</v>
      </c>
      <c r="E23" s="479">
        <v>50415.49</v>
      </c>
      <c r="F23" s="479">
        <v>70433.56</v>
      </c>
      <c r="G23" s="480">
        <v>0.1</v>
      </c>
      <c r="H23" s="479">
        <v>37565.440000000002</v>
      </c>
      <c r="I23" s="479">
        <v>20018.07</v>
      </c>
      <c r="J23" s="479">
        <v>40036.14</v>
      </c>
      <c r="K23" s="480">
        <v>0.06</v>
      </c>
      <c r="L23" s="481">
        <v>67962.86</v>
      </c>
    </row>
    <row r="24" spans="1:12">
      <c r="B24" s="437" t="s">
        <v>1749</v>
      </c>
      <c r="C24" s="479">
        <v>21778.45</v>
      </c>
      <c r="D24" s="479">
        <v>21881.05</v>
      </c>
      <c r="E24" s="479">
        <v>1253.55</v>
      </c>
      <c r="F24" s="479">
        <v>4101.55</v>
      </c>
      <c r="G24" s="480">
        <v>0.01</v>
      </c>
      <c r="H24" s="479">
        <v>17779.5</v>
      </c>
      <c r="I24" s="479">
        <v>1253.55</v>
      </c>
      <c r="J24" s="479">
        <v>1643.55</v>
      </c>
      <c r="K24" s="480">
        <v>0</v>
      </c>
      <c r="L24" s="481">
        <v>20237.5</v>
      </c>
    </row>
    <row r="25" spans="1:12">
      <c r="B25" s="437" t="s">
        <v>1750</v>
      </c>
      <c r="C25" s="479">
        <v>30100</v>
      </c>
      <c r="D25" s="479">
        <v>30100</v>
      </c>
      <c r="E25" s="479">
        <v>0</v>
      </c>
      <c r="F25" s="479">
        <v>0</v>
      </c>
      <c r="G25" s="480">
        <v>0</v>
      </c>
      <c r="H25" s="479">
        <v>30100</v>
      </c>
      <c r="I25" s="479">
        <v>0</v>
      </c>
      <c r="J25" s="479">
        <v>0</v>
      </c>
      <c r="K25" s="480">
        <v>0</v>
      </c>
      <c r="L25" s="481">
        <v>30100</v>
      </c>
    </row>
    <row r="26" spans="1:12">
      <c r="B26" s="437" t="s">
        <v>1751</v>
      </c>
      <c r="C26" s="479">
        <v>5000</v>
      </c>
      <c r="D26" s="479">
        <v>5000</v>
      </c>
      <c r="E26" s="479">
        <v>1360</v>
      </c>
      <c r="F26" s="479">
        <v>1519</v>
      </c>
      <c r="G26" s="480">
        <v>0</v>
      </c>
      <c r="H26" s="479">
        <v>3481</v>
      </c>
      <c r="I26" s="479">
        <v>329</v>
      </c>
      <c r="J26" s="479">
        <v>329</v>
      </c>
      <c r="K26" s="480">
        <v>0</v>
      </c>
      <c r="L26" s="481">
        <v>4671</v>
      </c>
    </row>
    <row r="27" spans="1:12">
      <c r="B27" s="437" t="s">
        <v>1740</v>
      </c>
      <c r="C27" s="479">
        <v>352480.47</v>
      </c>
      <c r="D27" s="479">
        <v>356199.47</v>
      </c>
      <c r="E27" s="479">
        <v>54418.41</v>
      </c>
      <c r="F27" s="479">
        <v>159425.9</v>
      </c>
      <c r="G27" s="480">
        <v>0.23</v>
      </c>
      <c r="H27" s="479">
        <v>196773.57</v>
      </c>
      <c r="I27" s="479">
        <v>54418.41</v>
      </c>
      <c r="J27" s="479">
        <v>159425.9</v>
      </c>
      <c r="K27" s="480">
        <v>0.25</v>
      </c>
      <c r="L27" s="481">
        <v>196773.57</v>
      </c>
    </row>
    <row r="28" spans="1:12">
      <c r="B28" s="437" t="s">
        <v>1752</v>
      </c>
      <c r="C28" s="479">
        <v>2137591.9500000002</v>
      </c>
      <c r="D28" s="479">
        <v>2136691.9500000002</v>
      </c>
      <c r="E28" s="479">
        <v>341394.45</v>
      </c>
      <c r="F28" s="479">
        <v>1199553.67</v>
      </c>
      <c r="G28" s="480">
        <v>1.75</v>
      </c>
      <c r="H28" s="479">
        <v>937138.28</v>
      </c>
      <c r="I28" s="479">
        <v>360116.58</v>
      </c>
      <c r="J28" s="479">
        <v>1099878.48</v>
      </c>
      <c r="K28" s="480">
        <v>1.76</v>
      </c>
      <c r="L28" s="481">
        <v>1036813.47</v>
      </c>
    </row>
    <row r="29" spans="1:12">
      <c r="B29" s="437" t="s">
        <v>1753</v>
      </c>
      <c r="C29" s="479">
        <v>290908.32</v>
      </c>
      <c r="D29" s="479">
        <v>293617.76</v>
      </c>
      <c r="E29" s="479">
        <v>1688</v>
      </c>
      <c r="F29" s="479">
        <v>62217.08</v>
      </c>
      <c r="G29" s="480">
        <v>0.09</v>
      </c>
      <c r="H29" s="479">
        <v>231400.68</v>
      </c>
      <c r="I29" s="479">
        <v>8291.83</v>
      </c>
      <c r="J29" s="479">
        <v>37109.21</v>
      </c>
      <c r="K29" s="480">
        <v>0.06</v>
      </c>
      <c r="L29" s="481">
        <v>256508.55</v>
      </c>
    </row>
    <row r="30" spans="1:12">
      <c r="A30" s="635" t="s">
        <v>1754</v>
      </c>
      <c r="B30" s="636"/>
      <c r="C30" s="479">
        <v>225919.9</v>
      </c>
      <c r="D30" s="479">
        <v>254419.9</v>
      </c>
      <c r="E30" s="479">
        <v>27085.200000000001</v>
      </c>
      <c r="F30" s="479">
        <v>78760.87</v>
      </c>
      <c r="G30" s="480">
        <v>0.12</v>
      </c>
      <c r="H30" s="479">
        <v>175659.03</v>
      </c>
      <c r="I30" s="479">
        <v>32214.799999999999</v>
      </c>
      <c r="J30" s="479">
        <v>49566.54</v>
      </c>
      <c r="K30" s="479">
        <v>0.08</v>
      </c>
      <c r="L30" s="481">
        <v>204853.36</v>
      </c>
    </row>
    <row r="31" spans="1:12">
      <c r="B31" s="437" t="s">
        <v>1755</v>
      </c>
      <c r="C31" s="479">
        <v>600</v>
      </c>
      <c r="D31" s="479">
        <v>600</v>
      </c>
      <c r="E31" s="479">
        <v>0</v>
      </c>
      <c r="F31" s="479">
        <v>0</v>
      </c>
      <c r="G31" s="480">
        <v>0</v>
      </c>
      <c r="H31" s="479">
        <v>600</v>
      </c>
      <c r="I31" s="479">
        <v>0</v>
      </c>
      <c r="J31" s="479">
        <v>0</v>
      </c>
      <c r="K31" s="480">
        <v>0</v>
      </c>
      <c r="L31" s="481">
        <v>600</v>
      </c>
    </row>
    <row r="32" spans="1:12">
      <c r="B32" s="437" t="s">
        <v>1756</v>
      </c>
      <c r="C32" s="479">
        <v>90815.2</v>
      </c>
      <c r="D32" s="479">
        <v>90815.2</v>
      </c>
      <c r="E32" s="479">
        <v>2957</v>
      </c>
      <c r="F32" s="479">
        <v>46925.49</v>
      </c>
      <c r="G32" s="480">
        <v>7.0000000000000007E-2</v>
      </c>
      <c r="H32" s="479">
        <v>43889.71</v>
      </c>
      <c r="I32" s="479">
        <v>25178.78</v>
      </c>
      <c r="J32" s="479">
        <v>40156.67</v>
      </c>
      <c r="K32" s="480">
        <v>0.06</v>
      </c>
      <c r="L32" s="481">
        <v>50658.53</v>
      </c>
    </row>
    <row r="33" spans="1:12">
      <c r="B33" s="437" t="s">
        <v>1757</v>
      </c>
      <c r="C33" s="479">
        <v>134504.70000000001</v>
      </c>
      <c r="D33" s="479">
        <v>163004.70000000001</v>
      </c>
      <c r="E33" s="479">
        <v>24128.2</v>
      </c>
      <c r="F33" s="479">
        <v>31835.38</v>
      </c>
      <c r="G33" s="480">
        <v>0.05</v>
      </c>
      <c r="H33" s="479">
        <v>131169.32</v>
      </c>
      <c r="I33" s="479">
        <v>7036.02</v>
      </c>
      <c r="J33" s="479">
        <v>9409.8700000000008</v>
      </c>
      <c r="K33" s="480">
        <v>0.02</v>
      </c>
      <c r="L33" s="481">
        <v>153594.82999999999</v>
      </c>
    </row>
    <row r="34" spans="1:12">
      <c r="A34" s="635" t="s">
        <v>1758</v>
      </c>
      <c r="B34" s="636"/>
      <c r="C34" s="479">
        <v>3350447.4</v>
      </c>
      <c r="D34" s="479">
        <v>3618096.95</v>
      </c>
      <c r="E34" s="479">
        <v>482298.98</v>
      </c>
      <c r="F34" s="479">
        <v>1809520.52</v>
      </c>
      <c r="G34" s="480">
        <v>2.65</v>
      </c>
      <c r="H34" s="479">
        <v>1808576.43</v>
      </c>
      <c r="I34" s="479">
        <v>473262.38</v>
      </c>
      <c r="J34" s="479">
        <v>1569830.71</v>
      </c>
      <c r="K34" s="479">
        <v>2.5099999999999998</v>
      </c>
      <c r="L34" s="481">
        <v>2048266.24</v>
      </c>
    </row>
    <row r="35" spans="1:12">
      <c r="B35" s="437" t="s">
        <v>1744</v>
      </c>
      <c r="C35" s="479">
        <v>2121390.0499999998</v>
      </c>
      <c r="D35" s="479">
        <v>2045418.05</v>
      </c>
      <c r="E35" s="479">
        <v>283303.26</v>
      </c>
      <c r="F35" s="479">
        <v>991797.01</v>
      </c>
      <c r="G35" s="480">
        <v>1.45</v>
      </c>
      <c r="H35" s="479">
        <v>1053621.04</v>
      </c>
      <c r="I35" s="479">
        <v>284987.3</v>
      </c>
      <c r="J35" s="479">
        <v>945901.73</v>
      </c>
      <c r="K35" s="480">
        <v>1.51</v>
      </c>
      <c r="L35" s="481">
        <v>1099516.32</v>
      </c>
    </row>
    <row r="36" spans="1:12">
      <c r="B36" s="437" t="s">
        <v>1759</v>
      </c>
      <c r="C36" s="479">
        <v>55423</v>
      </c>
      <c r="D36" s="479">
        <v>50423</v>
      </c>
      <c r="E36" s="479">
        <v>0</v>
      </c>
      <c r="F36" s="479">
        <v>0</v>
      </c>
      <c r="G36" s="480">
        <v>0</v>
      </c>
      <c r="H36" s="479">
        <v>50423</v>
      </c>
      <c r="I36" s="479">
        <v>0</v>
      </c>
      <c r="J36" s="479">
        <v>0</v>
      </c>
      <c r="K36" s="480">
        <v>0</v>
      </c>
      <c r="L36" s="481">
        <v>50423</v>
      </c>
    </row>
    <row r="37" spans="1:12">
      <c r="B37" s="437" t="s">
        <v>1760</v>
      </c>
      <c r="C37" s="479">
        <v>55111</v>
      </c>
      <c r="D37" s="479">
        <v>57865.66</v>
      </c>
      <c r="E37" s="479">
        <v>0</v>
      </c>
      <c r="F37" s="479">
        <v>0</v>
      </c>
      <c r="G37" s="480">
        <v>0</v>
      </c>
      <c r="H37" s="479">
        <v>57865.66</v>
      </c>
      <c r="I37" s="479">
        <v>0</v>
      </c>
      <c r="J37" s="479">
        <v>0</v>
      </c>
      <c r="K37" s="480">
        <v>0</v>
      </c>
      <c r="L37" s="481">
        <v>57865.66</v>
      </c>
    </row>
    <row r="38" spans="1:12">
      <c r="B38" s="437" t="s">
        <v>1761</v>
      </c>
      <c r="C38" s="479">
        <v>394680.21</v>
      </c>
      <c r="D38" s="479">
        <v>515687.25</v>
      </c>
      <c r="E38" s="479">
        <v>119781.31</v>
      </c>
      <c r="F38" s="479">
        <v>365498.37</v>
      </c>
      <c r="G38" s="480">
        <v>0.53</v>
      </c>
      <c r="H38" s="479">
        <v>150188.88</v>
      </c>
      <c r="I38" s="479">
        <v>65017.279999999999</v>
      </c>
      <c r="J38" s="479">
        <v>242281.12</v>
      </c>
      <c r="K38" s="480">
        <v>0.39</v>
      </c>
      <c r="L38" s="481">
        <v>273406.13</v>
      </c>
    </row>
    <row r="39" spans="1:12">
      <c r="B39" s="437" t="s">
        <v>1762</v>
      </c>
      <c r="C39" s="479">
        <v>511883.18</v>
      </c>
      <c r="D39" s="479">
        <v>736743.03</v>
      </c>
      <c r="E39" s="479">
        <v>45165.14</v>
      </c>
      <c r="F39" s="479">
        <v>351899.31</v>
      </c>
      <c r="G39" s="480">
        <v>0.51</v>
      </c>
      <c r="H39" s="479">
        <v>384843.72</v>
      </c>
      <c r="I39" s="479">
        <v>89208.53</v>
      </c>
      <c r="J39" s="479">
        <v>281322.03000000003</v>
      </c>
      <c r="K39" s="480">
        <v>0.45</v>
      </c>
      <c r="L39" s="481">
        <v>455421</v>
      </c>
    </row>
    <row r="40" spans="1:12">
      <c r="B40" s="437" t="s">
        <v>1740</v>
      </c>
      <c r="C40" s="479">
        <v>117654.01</v>
      </c>
      <c r="D40" s="479">
        <v>117654.01</v>
      </c>
      <c r="E40" s="479">
        <v>19679.03</v>
      </c>
      <c r="F40" s="479">
        <v>59909.53</v>
      </c>
      <c r="G40" s="480">
        <v>0.09</v>
      </c>
      <c r="H40" s="479">
        <v>57744.480000000003</v>
      </c>
      <c r="I40" s="479">
        <v>19679.03</v>
      </c>
      <c r="J40" s="479">
        <v>59909.53</v>
      </c>
      <c r="K40" s="480">
        <v>0.1</v>
      </c>
      <c r="L40" s="481">
        <v>57744.480000000003</v>
      </c>
    </row>
    <row r="41" spans="1:12">
      <c r="B41" s="437" t="s">
        <v>1752</v>
      </c>
      <c r="C41" s="479">
        <v>94305.95</v>
      </c>
      <c r="D41" s="479">
        <v>94305.95</v>
      </c>
      <c r="E41" s="479">
        <v>14370.24</v>
      </c>
      <c r="F41" s="479">
        <v>40416.300000000003</v>
      </c>
      <c r="G41" s="480">
        <v>0.06</v>
      </c>
      <c r="H41" s="479">
        <v>53889.65</v>
      </c>
      <c r="I41" s="479">
        <v>14370.24</v>
      </c>
      <c r="J41" s="479">
        <v>40416.300000000003</v>
      </c>
      <c r="K41" s="480">
        <v>0.06</v>
      </c>
      <c r="L41" s="481">
        <v>53889.65</v>
      </c>
    </row>
    <row r="42" spans="1:12">
      <c r="A42" s="635" t="s">
        <v>1763</v>
      </c>
      <c r="B42" s="636"/>
      <c r="C42" s="479">
        <v>26301030.899999999</v>
      </c>
      <c r="D42" s="479">
        <v>27242317.23</v>
      </c>
      <c r="E42" s="479">
        <v>4786273.9000000004</v>
      </c>
      <c r="F42" s="479">
        <v>15056074.67</v>
      </c>
      <c r="G42" s="480">
        <v>22.01</v>
      </c>
      <c r="H42" s="479">
        <v>12186242.560000001</v>
      </c>
      <c r="I42" s="479">
        <v>4845209.1900000004</v>
      </c>
      <c r="J42" s="479">
        <v>14238535.27</v>
      </c>
      <c r="K42" s="479">
        <v>22.77</v>
      </c>
      <c r="L42" s="481">
        <v>13003781.960000001</v>
      </c>
    </row>
    <row r="43" spans="1:12">
      <c r="B43" s="437" t="s">
        <v>1764</v>
      </c>
      <c r="C43" s="479">
        <v>22825580.899999999</v>
      </c>
      <c r="D43" s="479">
        <v>22825580.899999999</v>
      </c>
      <c r="E43" s="479">
        <v>3713176.63</v>
      </c>
      <c r="F43" s="479">
        <v>11166821.6</v>
      </c>
      <c r="G43" s="480">
        <v>16.329999999999998</v>
      </c>
      <c r="H43" s="479">
        <v>11658759.300000001</v>
      </c>
      <c r="I43" s="479">
        <v>3724549.18</v>
      </c>
      <c r="J43" s="479">
        <v>11162076.5</v>
      </c>
      <c r="K43" s="480">
        <v>17.850000000000001</v>
      </c>
      <c r="L43" s="481">
        <v>11663504.4</v>
      </c>
    </row>
    <row r="44" spans="1:12">
      <c r="B44" s="437" t="s">
        <v>1765</v>
      </c>
      <c r="C44" s="479">
        <v>3475450</v>
      </c>
      <c r="D44" s="479">
        <v>4416736.33</v>
      </c>
      <c r="E44" s="479">
        <v>1073097.27</v>
      </c>
      <c r="F44" s="479">
        <v>3889253.07</v>
      </c>
      <c r="G44" s="480">
        <v>5.69</v>
      </c>
      <c r="H44" s="479">
        <v>527483.26</v>
      </c>
      <c r="I44" s="479">
        <v>1120660.01</v>
      </c>
      <c r="J44" s="479">
        <v>3076458.77</v>
      </c>
      <c r="K44" s="480">
        <v>4.92</v>
      </c>
      <c r="L44" s="481">
        <v>1340277.56</v>
      </c>
    </row>
    <row r="45" spans="1:12">
      <c r="A45" s="635" t="s">
        <v>1766</v>
      </c>
      <c r="B45" s="636"/>
      <c r="C45" s="479">
        <v>22152216.010000002</v>
      </c>
      <c r="D45" s="479">
        <v>24480752.52</v>
      </c>
      <c r="E45" s="479">
        <v>3793278.11</v>
      </c>
      <c r="F45" s="479">
        <v>13206175.16</v>
      </c>
      <c r="G45" s="480">
        <v>19.309999999999999</v>
      </c>
      <c r="H45" s="479">
        <v>11274577.359999999</v>
      </c>
      <c r="I45" s="479">
        <v>4502180.2</v>
      </c>
      <c r="J45" s="479">
        <v>11925567.85</v>
      </c>
      <c r="K45" s="479">
        <v>19.07</v>
      </c>
      <c r="L45" s="481">
        <v>12555184.67</v>
      </c>
    </row>
    <row r="46" spans="1:12">
      <c r="B46" s="437" t="s">
        <v>1744</v>
      </c>
      <c r="C46" s="479">
        <v>1181996.31</v>
      </c>
      <c r="D46" s="479">
        <v>1306666.46</v>
      </c>
      <c r="E46" s="479">
        <v>125728.68</v>
      </c>
      <c r="F46" s="479">
        <v>566831.15</v>
      </c>
      <c r="G46" s="480">
        <v>0.83</v>
      </c>
      <c r="H46" s="479">
        <v>739835.31</v>
      </c>
      <c r="I46" s="479">
        <v>179712.91</v>
      </c>
      <c r="J46" s="479">
        <v>444314.45</v>
      </c>
      <c r="K46" s="480">
        <v>0.71</v>
      </c>
      <c r="L46" s="481">
        <v>862352.01</v>
      </c>
    </row>
    <row r="47" spans="1:12">
      <c r="B47" s="437" t="s">
        <v>1748</v>
      </c>
      <c r="C47" s="479">
        <v>100003</v>
      </c>
      <c r="D47" s="479">
        <v>100003</v>
      </c>
      <c r="E47" s="479">
        <v>0</v>
      </c>
      <c r="F47" s="479">
        <v>53788.42</v>
      </c>
      <c r="G47" s="480">
        <v>0.08</v>
      </c>
      <c r="H47" s="479">
        <v>46214.58</v>
      </c>
      <c r="I47" s="479">
        <v>20640.16</v>
      </c>
      <c r="J47" s="479">
        <v>53788.42</v>
      </c>
      <c r="K47" s="480">
        <v>0.09</v>
      </c>
      <c r="L47" s="481">
        <v>46214.58</v>
      </c>
    </row>
    <row r="48" spans="1:12">
      <c r="B48" s="437" t="s">
        <v>1761</v>
      </c>
      <c r="C48" s="479">
        <v>196.52</v>
      </c>
      <c r="D48" s="479">
        <v>196.52</v>
      </c>
      <c r="E48" s="479">
        <v>0</v>
      </c>
      <c r="F48" s="479">
        <v>0</v>
      </c>
      <c r="G48" s="480">
        <v>0</v>
      </c>
      <c r="H48" s="479">
        <v>196.52</v>
      </c>
      <c r="I48" s="479">
        <v>0</v>
      </c>
      <c r="J48" s="479">
        <v>0</v>
      </c>
      <c r="K48" s="480">
        <v>0</v>
      </c>
      <c r="L48" s="481">
        <v>196.52</v>
      </c>
    </row>
    <row r="49" spans="1:12">
      <c r="B49" s="437" t="s">
        <v>1740</v>
      </c>
      <c r="C49" s="479">
        <v>288916.26</v>
      </c>
      <c r="D49" s="479">
        <v>294916.26</v>
      </c>
      <c r="E49" s="479">
        <v>49201.919999999998</v>
      </c>
      <c r="F49" s="479">
        <v>138593.01</v>
      </c>
      <c r="G49" s="480">
        <v>0.2</v>
      </c>
      <c r="H49" s="479">
        <v>156323.25</v>
      </c>
      <c r="I49" s="479">
        <v>49201.919999999998</v>
      </c>
      <c r="J49" s="479">
        <v>138593.01</v>
      </c>
      <c r="K49" s="480">
        <v>0.22</v>
      </c>
      <c r="L49" s="481">
        <v>156323.25</v>
      </c>
    </row>
    <row r="50" spans="1:12">
      <c r="B50" s="437" t="s">
        <v>1767</v>
      </c>
      <c r="C50" s="479">
        <v>7676180.4699999997</v>
      </c>
      <c r="D50" s="479">
        <v>8394736.3000000007</v>
      </c>
      <c r="E50" s="479">
        <v>1260368.9099999999</v>
      </c>
      <c r="F50" s="479">
        <v>3882531.25</v>
      </c>
      <c r="G50" s="480">
        <v>5.68</v>
      </c>
      <c r="H50" s="479">
        <v>4512205.05</v>
      </c>
      <c r="I50" s="479">
        <v>1331662.83</v>
      </c>
      <c r="J50" s="479">
        <v>3761551.11</v>
      </c>
      <c r="K50" s="480">
        <v>6.02</v>
      </c>
      <c r="L50" s="481">
        <v>4633185.1900000004</v>
      </c>
    </row>
    <row r="51" spans="1:12">
      <c r="B51" s="437" t="s">
        <v>1765</v>
      </c>
      <c r="C51" s="479">
        <v>10006375.460000001</v>
      </c>
      <c r="D51" s="479">
        <v>10245863.99</v>
      </c>
      <c r="E51" s="479">
        <v>1511888.51</v>
      </c>
      <c r="F51" s="479">
        <v>5841861.9699999997</v>
      </c>
      <c r="G51" s="480">
        <v>8.5399999999999991</v>
      </c>
      <c r="H51" s="479">
        <v>4404002.0199999996</v>
      </c>
      <c r="I51" s="479">
        <v>2128745.4</v>
      </c>
      <c r="J51" s="479">
        <v>5123525.76</v>
      </c>
      <c r="K51" s="480">
        <v>8.19</v>
      </c>
      <c r="L51" s="481">
        <v>5122338.2300000004</v>
      </c>
    </row>
    <row r="52" spans="1:12">
      <c r="B52" s="437" t="s">
        <v>1768</v>
      </c>
      <c r="C52" s="479">
        <v>890617.47</v>
      </c>
      <c r="D52" s="479">
        <v>890617.47</v>
      </c>
      <c r="E52" s="479">
        <v>222140.56</v>
      </c>
      <c r="F52" s="479">
        <v>558501.57999999996</v>
      </c>
      <c r="G52" s="480">
        <v>0.82</v>
      </c>
      <c r="H52" s="479">
        <v>332115.89</v>
      </c>
      <c r="I52" s="479">
        <v>134041.72</v>
      </c>
      <c r="J52" s="479">
        <v>431627.44</v>
      </c>
      <c r="K52" s="480">
        <v>0.69</v>
      </c>
      <c r="L52" s="481">
        <v>458990.03</v>
      </c>
    </row>
    <row r="53" spans="1:12">
      <c r="B53" s="437" t="s">
        <v>1769</v>
      </c>
      <c r="C53" s="479">
        <v>44010</v>
      </c>
      <c r="D53" s="479">
        <v>64010</v>
      </c>
      <c r="E53" s="479">
        <v>2735.38</v>
      </c>
      <c r="F53" s="479">
        <v>9048.7800000000007</v>
      </c>
      <c r="G53" s="480">
        <v>0.01</v>
      </c>
      <c r="H53" s="479">
        <v>54961.22</v>
      </c>
      <c r="I53" s="479">
        <v>1089.3800000000001</v>
      </c>
      <c r="J53" s="479">
        <v>7237.78</v>
      </c>
      <c r="K53" s="480">
        <v>0.01</v>
      </c>
      <c r="L53" s="481">
        <v>56772.22</v>
      </c>
    </row>
    <row r="54" spans="1:12">
      <c r="B54" s="437" t="s">
        <v>1770</v>
      </c>
      <c r="C54" s="479">
        <v>1250196.8899999999</v>
      </c>
      <c r="D54" s="479">
        <v>2470018.89</v>
      </c>
      <c r="E54" s="479">
        <v>515169.53</v>
      </c>
      <c r="F54" s="479">
        <v>1831241.2</v>
      </c>
      <c r="G54" s="480">
        <v>2.68</v>
      </c>
      <c r="H54" s="479">
        <v>638777.68999999994</v>
      </c>
      <c r="I54" s="479">
        <v>552787.86</v>
      </c>
      <c r="J54" s="479">
        <v>1659922.99</v>
      </c>
      <c r="K54" s="480">
        <v>2.65</v>
      </c>
      <c r="L54" s="481">
        <v>810095.9</v>
      </c>
    </row>
    <row r="55" spans="1:12">
      <c r="B55" s="437" t="s">
        <v>1752</v>
      </c>
      <c r="C55" s="479">
        <v>713723.63</v>
      </c>
      <c r="D55" s="479">
        <v>713723.63</v>
      </c>
      <c r="E55" s="479">
        <v>106044.62</v>
      </c>
      <c r="F55" s="479">
        <v>323777.8</v>
      </c>
      <c r="G55" s="480">
        <v>0.47</v>
      </c>
      <c r="H55" s="479">
        <v>389945.83</v>
      </c>
      <c r="I55" s="479">
        <v>104298.02</v>
      </c>
      <c r="J55" s="479">
        <v>305006.89</v>
      </c>
      <c r="K55" s="480">
        <v>0.49</v>
      </c>
      <c r="L55" s="481">
        <v>408716.74</v>
      </c>
    </row>
    <row r="56" spans="1:12">
      <c r="A56" s="635" t="s">
        <v>1771</v>
      </c>
      <c r="B56" s="636"/>
      <c r="C56" s="479">
        <v>10000</v>
      </c>
      <c r="D56" s="479">
        <v>10000</v>
      </c>
      <c r="E56" s="479">
        <v>0</v>
      </c>
      <c r="F56" s="479">
        <v>0</v>
      </c>
      <c r="G56" s="480">
        <v>0</v>
      </c>
      <c r="H56" s="479">
        <v>10000</v>
      </c>
      <c r="I56" s="479">
        <v>0</v>
      </c>
      <c r="J56" s="479">
        <v>0</v>
      </c>
      <c r="K56" s="479">
        <v>0</v>
      </c>
      <c r="L56" s="481">
        <v>10000</v>
      </c>
    </row>
    <row r="57" spans="1:12">
      <c r="B57" s="437" t="s">
        <v>1752</v>
      </c>
      <c r="C57" s="479">
        <v>10000</v>
      </c>
      <c r="D57" s="479">
        <v>10000</v>
      </c>
      <c r="E57" s="479">
        <v>0</v>
      </c>
      <c r="F57" s="479">
        <v>0</v>
      </c>
      <c r="G57" s="480">
        <v>0</v>
      </c>
      <c r="H57" s="479">
        <v>10000</v>
      </c>
      <c r="I57" s="479">
        <v>0</v>
      </c>
      <c r="J57" s="479">
        <v>0</v>
      </c>
      <c r="K57" s="480">
        <v>0</v>
      </c>
      <c r="L57" s="481">
        <v>10000</v>
      </c>
    </row>
    <row r="58" spans="1:12">
      <c r="A58" s="635" t="s">
        <v>1772</v>
      </c>
      <c r="B58" s="636"/>
      <c r="C58" s="479">
        <v>28654315.129999999</v>
      </c>
      <c r="D58" s="479">
        <v>31398165.510000002</v>
      </c>
      <c r="E58" s="479">
        <v>3712075.69</v>
      </c>
      <c r="F58" s="479">
        <v>11877104.470000001</v>
      </c>
      <c r="G58" s="480">
        <v>17.37</v>
      </c>
      <c r="H58" s="479">
        <v>19521061.039999999</v>
      </c>
      <c r="I58" s="479">
        <v>3808160.84</v>
      </c>
      <c r="J58" s="479">
        <v>11638794.550000001</v>
      </c>
      <c r="K58" s="479">
        <v>18.62</v>
      </c>
      <c r="L58" s="481">
        <v>19759370.960000001</v>
      </c>
    </row>
    <row r="59" spans="1:12">
      <c r="B59" s="437" t="s">
        <v>1744</v>
      </c>
      <c r="C59" s="479">
        <v>1140045.03</v>
      </c>
      <c r="D59" s="479">
        <v>1145478.03</v>
      </c>
      <c r="E59" s="479">
        <v>145107.6</v>
      </c>
      <c r="F59" s="479">
        <v>449692.73</v>
      </c>
      <c r="G59" s="480">
        <v>0.66</v>
      </c>
      <c r="H59" s="479">
        <v>695785.3</v>
      </c>
      <c r="I59" s="479">
        <v>156524.6</v>
      </c>
      <c r="J59" s="479">
        <v>447631.73</v>
      </c>
      <c r="K59" s="480">
        <v>0.72</v>
      </c>
      <c r="L59" s="481">
        <v>697846.3</v>
      </c>
    </row>
    <row r="60" spans="1:12">
      <c r="B60" s="437" t="s">
        <v>1740</v>
      </c>
      <c r="C60" s="479">
        <v>72840.78</v>
      </c>
      <c r="D60" s="479">
        <v>91869.78</v>
      </c>
      <c r="E60" s="479">
        <v>9194.4599999999991</v>
      </c>
      <c r="F60" s="479">
        <v>28169.85</v>
      </c>
      <c r="G60" s="480">
        <v>0.04</v>
      </c>
      <c r="H60" s="479">
        <v>63699.93</v>
      </c>
      <c r="I60" s="479">
        <v>9194.4599999999991</v>
      </c>
      <c r="J60" s="479">
        <v>28169.85</v>
      </c>
      <c r="K60" s="480">
        <v>0.05</v>
      </c>
      <c r="L60" s="481">
        <v>63699.93</v>
      </c>
    </row>
    <row r="61" spans="1:12">
      <c r="B61" s="437" t="s">
        <v>1752</v>
      </c>
      <c r="C61" s="479">
        <v>1440467.88</v>
      </c>
      <c r="D61" s="479">
        <v>1607467.88</v>
      </c>
      <c r="E61" s="479">
        <v>224535</v>
      </c>
      <c r="F61" s="479">
        <v>675700.66</v>
      </c>
      <c r="G61" s="480">
        <v>0.99</v>
      </c>
      <c r="H61" s="479">
        <v>931767.22</v>
      </c>
      <c r="I61" s="479">
        <v>224535</v>
      </c>
      <c r="J61" s="479">
        <v>675700.66</v>
      </c>
      <c r="K61" s="480">
        <v>1.08</v>
      </c>
      <c r="L61" s="481">
        <v>931767.22</v>
      </c>
    </row>
    <row r="62" spans="1:12">
      <c r="B62" s="437" t="s">
        <v>1773</v>
      </c>
      <c r="C62" s="479">
        <v>15421591.640000001</v>
      </c>
      <c r="D62" s="479">
        <v>17005596.02</v>
      </c>
      <c r="E62" s="479">
        <v>2038793.16</v>
      </c>
      <c r="F62" s="479">
        <v>6433366.4800000004</v>
      </c>
      <c r="G62" s="480">
        <v>9.41</v>
      </c>
      <c r="H62" s="479">
        <v>10572229.539999999</v>
      </c>
      <c r="I62" s="479">
        <v>2073934.02</v>
      </c>
      <c r="J62" s="479">
        <v>6244480.1699999999</v>
      </c>
      <c r="K62" s="480">
        <v>9.99</v>
      </c>
      <c r="L62" s="481">
        <v>10761115.85</v>
      </c>
    </row>
    <row r="63" spans="1:12">
      <c r="B63" s="437" t="s">
        <v>1774</v>
      </c>
      <c r="C63" s="479">
        <v>1300000</v>
      </c>
      <c r="D63" s="479">
        <v>1300000</v>
      </c>
      <c r="E63" s="479">
        <v>0</v>
      </c>
      <c r="F63" s="479">
        <v>0</v>
      </c>
      <c r="G63" s="480">
        <v>0</v>
      </c>
      <c r="H63" s="479">
        <v>1300000</v>
      </c>
      <c r="I63" s="479">
        <v>0</v>
      </c>
      <c r="J63" s="479">
        <v>0</v>
      </c>
      <c r="K63" s="480">
        <v>0</v>
      </c>
      <c r="L63" s="481">
        <v>1300000</v>
      </c>
    </row>
    <row r="64" spans="1:12">
      <c r="B64" s="437" t="s">
        <v>1775</v>
      </c>
      <c r="C64" s="479">
        <v>80</v>
      </c>
      <c r="D64" s="479">
        <v>80</v>
      </c>
      <c r="E64" s="479">
        <v>0</v>
      </c>
      <c r="F64" s="479">
        <v>0</v>
      </c>
      <c r="G64" s="480">
        <v>0</v>
      </c>
      <c r="H64" s="479">
        <v>80</v>
      </c>
      <c r="I64" s="479">
        <v>0</v>
      </c>
      <c r="J64" s="479">
        <v>0</v>
      </c>
      <c r="K64" s="480">
        <v>0</v>
      </c>
      <c r="L64" s="481">
        <v>80</v>
      </c>
    </row>
    <row r="65" spans="1:12">
      <c r="B65" s="437" t="s">
        <v>1776</v>
      </c>
      <c r="C65" s="479">
        <v>7465686.5999999996</v>
      </c>
      <c r="D65" s="479">
        <v>8387437.5999999996</v>
      </c>
      <c r="E65" s="479">
        <v>1020936.83</v>
      </c>
      <c r="F65" s="479">
        <v>3484274.29</v>
      </c>
      <c r="G65" s="480">
        <v>5.09</v>
      </c>
      <c r="H65" s="479">
        <v>4903163.3099999996</v>
      </c>
      <c r="I65" s="479">
        <v>1071426.7</v>
      </c>
      <c r="J65" s="479">
        <v>3438206.76</v>
      </c>
      <c r="K65" s="480">
        <v>5.5</v>
      </c>
      <c r="L65" s="481">
        <v>4949230.84</v>
      </c>
    </row>
    <row r="66" spans="1:12">
      <c r="B66" s="437" t="s">
        <v>1777</v>
      </c>
      <c r="C66" s="479">
        <v>420974.36</v>
      </c>
      <c r="D66" s="479">
        <v>429674.36</v>
      </c>
      <c r="E66" s="479">
        <v>64900.45</v>
      </c>
      <c r="F66" s="479">
        <v>197873.15</v>
      </c>
      <c r="G66" s="480">
        <v>0.28999999999999998</v>
      </c>
      <c r="H66" s="479">
        <v>231801.21</v>
      </c>
      <c r="I66" s="479">
        <v>63937.87</v>
      </c>
      <c r="J66" s="479">
        <v>196578.07</v>
      </c>
      <c r="K66" s="480">
        <v>0.31</v>
      </c>
      <c r="L66" s="481">
        <v>233096.29</v>
      </c>
    </row>
    <row r="67" spans="1:12">
      <c r="B67" s="437" t="s">
        <v>1778</v>
      </c>
      <c r="C67" s="479">
        <v>1392508.84</v>
      </c>
      <c r="D67" s="479">
        <v>1430441.84</v>
      </c>
      <c r="E67" s="479">
        <v>208608.19</v>
      </c>
      <c r="F67" s="479">
        <v>608027.31000000006</v>
      </c>
      <c r="G67" s="480">
        <v>0.89</v>
      </c>
      <c r="H67" s="479">
        <v>822414.53</v>
      </c>
      <c r="I67" s="479">
        <v>208608.19</v>
      </c>
      <c r="J67" s="479">
        <v>608027.31000000006</v>
      </c>
      <c r="K67" s="480">
        <v>0.97</v>
      </c>
      <c r="L67" s="481">
        <v>822414.53</v>
      </c>
    </row>
    <row r="68" spans="1:12">
      <c r="B68" s="437" t="s">
        <v>1779</v>
      </c>
      <c r="C68" s="479">
        <v>120</v>
      </c>
      <c r="D68" s="479">
        <v>120</v>
      </c>
      <c r="E68" s="479">
        <v>0</v>
      </c>
      <c r="F68" s="479">
        <v>0</v>
      </c>
      <c r="G68" s="480">
        <v>0</v>
      </c>
      <c r="H68" s="479">
        <v>120</v>
      </c>
      <c r="I68" s="479">
        <v>0</v>
      </c>
      <c r="J68" s="479">
        <v>0</v>
      </c>
      <c r="K68" s="480">
        <v>0</v>
      </c>
      <c r="L68" s="481">
        <v>120</v>
      </c>
    </row>
    <row r="69" spans="1:12">
      <c r="A69" s="635" t="s">
        <v>1780</v>
      </c>
      <c r="B69" s="636"/>
      <c r="C69" s="479">
        <v>261033.78</v>
      </c>
      <c r="D69" s="479">
        <v>245623.24</v>
      </c>
      <c r="E69" s="479">
        <v>68269.52</v>
      </c>
      <c r="F69" s="479">
        <v>70838.52</v>
      </c>
      <c r="G69" s="480">
        <v>0.1</v>
      </c>
      <c r="H69" s="479">
        <v>174784.72</v>
      </c>
      <c r="I69" s="479">
        <v>15992.56</v>
      </c>
      <c r="J69" s="479">
        <v>15992.56</v>
      </c>
      <c r="K69" s="479">
        <v>0.03</v>
      </c>
      <c r="L69" s="481">
        <v>229630.68</v>
      </c>
    </row>
    <row r="70" spans="1:12">
      <c r="B70" s="437" t="s">
        <v>1781</v>
      </c>
      <c r="C70" s="479">
        <v>13906.55</v>
      </c>
      <c r="D70" s="479">
        <v>13906.55</v>
      </c>
      <c r="E70" s="479">
        <v>0</v>
      </c>
      <c r="F70" s="479">
        <v>0</v>
      </c>
      <c r="G70" s="480">
        <v>0</v>
      </c>
      <c r="H70" s="479">
        <v>13906.55</v>
      </c>
      <c r="I70" s="479">
        <v>0</v>
      </c>
      <c r="J70" s="479">
        <v>0</v>
      </c>
      <c r="K70" s="480">
        <v>0</v>
      </c>
      <c r="L70" s="481">
        <v>13906.55</v>
      </c>
    </row>
    <row r="71" spans="1:12">
      <c r="B71" s="437" t="s">
        <v>1782</v>
      </c>
      <c r="C71" s="479">
        <v>247127.23</v>
      </c>
      <c r="D71" s="479">
        <v>231716.69</v>
      </c>
      <c r="E71" s="479">
        <v>68269.52</v>
      </c>
      <c r="F71" s="479">
        <v>70838.52</v>
      </c>
      <c r="G71" s="480">
        <v>0.1</v>
      </c>
      <c r="H71" s="479">
        <v>160878.17000000001</v>
      </c>
      <c r="I71" s="479">
        <v>15992.56</v>
      </c>
      <c r="J71" s="479">
        <v>15992.56</v>
      </c>
      <c r="K71" s="480">
        <v>0.03</v>
      </c>
      <c r="L71" s="481">
        <v>215724.13</v>
      </c>
    </row>
    <row r="72" spans="1:12">
      <c r="A72" s="635" t="s">
        <v>1783</v>
      </c>
      <c r="B72" s="636"/>
      <c r="C72" s="479">
        <v>2000</v>
      </c>
      <c r="D72" s="479">
        <v>2000</v>
      </c>
      <c r="E72" s="479">
        <v>0</v>
      </c>
      <c r="F72" s="479">
        <v>0</v>
      </c>
      <c r="G72" s="480">
        <v>0</v>
      </c>
      <c r="H72" s="479">
        <v>2000</v>
      </c>
      <c r="I72" s="479">
        <v>0</v>
      </c>
      <c r="J72" s="479">
        <v>0</v>
      </c>
      <c r="K72" s="479">
        <v>0</v>
      </c>
      <c r="L72" s="481">
        <v>2000</v>
      </c>
    </row>
    <row r="73" spans="1:12">
      <c r="B73" s="437" t="s">
        <v>1744</v>
      </c>
      <c r="C73" s="479">
        <v>1000</v>
      </c>
      <c r="D73" s="479">
        <v>1000</v>
      </c>
      <c r="E73" s="479">
        <v>0</v>
      </c>
      <c r="F73" s="479">
        <v>0</v>
      </c>
      <c r="G73" s="480">
        <v>0</v>
      </c>
      <c r="H73" s="479">
        <v>1000</v>
      </c>
      <c r="I73" s="479">
        <v>0</v>
      </c>
      <c r="J73" s="479">
        <v>0</v>
      </c>
      <c r="K73" s="480">
        <v>0</v>
      </c>
      <c r="L73" s="481">
        <v>1000</v>
      </c>
    </row>
    <row r="74" spans="1:12">
      <c r="B74" s="437" t="s">
        <v>1784</v>
      </c>
      <c r="C74" s="479">
        <v>1000</v>
      </c>
      <c r="D74" s="479">
        <v>1000</v>
      </c>
      <c r="E74" s="479">
        <v>0</v>
      </c>
      <c r="F74" s="479">
        <v>0</v>
      </c>
      <c r="G74" s="480">
        <v>0</v>
      </c>
      <c r="H74" s="479">
        <v>1000</v>
      </c>
      <c r="I74" s="479">
        <v>0</v>
      </c>
      <c r="J74" s="479">
        <v>0</v>
      </c>
      <c r="K74" s="480">
        <v>0</v>
      </c>
      <c r="L74" s="481">
        <v>1000</v>
      </c>
    </row>
    <row r="75" spans="1:12">
      <c r="A75" s="635" t="s">
        <v>1785</v>
      </c>
      <c r="B75" s="636"/>
      <c r="C75" s="479">
        <v>4947529.43</v>
      </c>
      <c r="D75" s="479">
        <v>4713934.38</v>
      </c>
      <c r="E75" s="479">
        <v>196826.79</v>
      </c>
      <c r="F75" s="479">
        <v>2826626.83</v>
      </c>
      <c r="G75" s="480">
        <v>4.13</v>
      </c>
      <c r="H75" s="479">
        <v>1887307.55</v>
      </c>
      <c r="I75" s="479">
        <v>717237.63</v>
      </c>
      <c r="J75" s="479">
        <v>1583262.12</v>
      </c>
      <c r="K75" s="479">
        <v>2.5299999999999998</v>
      </c>
      <c r="L75" s="481">
        <v>3130672.26</v>
      </c>
    </row>
    <row r="76" spans="1:12">
      <c r="B76" s="437" t="s">
        <v>1786</v>
      </c>
      <c r="C76" s="479">
        <v>3119378.43</v>
      </c>
      <c r="D76" s="479">
        <v>3056283.38</v>
      </c>
      <c r="E76" s="479">
        <v>15750.38</v>
      </c>
      <c r="F76" s="479">
        <v>1235607.49</v>
      </c>
      <c r="G76" s="480">
        <v>1.81</v>
      </c>
      <c r="H76" s="479">
        <v>1820675.89</v>
      </c>
      <c r="I76" s="479">
        <v>272351.77</v>
      </c>
      <c r="J76" s="479">
        <v>639744.99</v>
      </c>
      <c r="K76" s="480">
        <v>1.02</v>
      </c>
      <c r="L76" s="481">
        <v>2416538.39</v>
      </c>
    </row>
    <row r="77" spans="1:12">
      <c r="B77" s="437" t="s">
        <v>1757</v>
      </c>
      <c r="C77" s="479">
        <v>1828151</v>
      </c>
      <c r="D77" s="479">
        <v>1657651</v>
      </c>
      <c r="E77" s="479">
        <v>181076.41</v>
      </c>
      <c r="F77" s="479">
        <v>1591019.34</v>
      </c>
      <c r="G77" s="480">
        <v>2.33</v>
      </c>
      <c r="H77" s="479">
        <v>66631.66</v>
      </c>
      <c r="I77" s="479">
        <v>444885.86</v>
      </c>
      <c r="J77" s="479">
        <v>943517.13</v>
      </c>
      <c r="K77" s="480">
        <v>1.51</v>
      </c>
      <c r="L77" s="481">
        <v>714133.87</v>
      </c>
    </row>
    <row r="78" spans="1:12">
      <c r="A78" s="635" t="s">
        <v>1787</v>
      </c>
      <c r="B78" s="636"/>
      <c r="C78" s="479">
        <v>272672.09000000003</v>
      </c>
      <c r="D78" s="479">
        <v>344672.09</v>
      </c>
      <c r="E78" s="479">
        <v>0</v>
      </c>
      <c r="F78" s="479">
        <v>0</v>
      </c>
      <c r="G78" s="480">
        <v>0</v>
      </c>
      <c r="H78" s="479">
        <v>344672.09</v>
      </c>
      <c r="I78" s="479">
        <v>0</v>
      </c>
      <c r="J78" s="479">
        <v>0</v>
      </c>
      <c r="K78" s="479">
        <v>0</v>
      </c>
      <c r="L78" s="481">
        <v>344672.09</v>
      </c>
    </row>
    <row r="79" spans="1:12">
      <c r="B79" s="437" t="s">
        <v>1762</v>
      </c>
      <c r="C79" s="479">
        <v>4000</v>
      </c>
      <c r="D79" s="479">
        <v>4000</v>
      </c>
      <c r="E79" s="479">
        <v>0</v>
      </c>
      <c r="F79" s="479">
        <v>0</v>
      </c>
      <c r="G79" s="480">
        <v>0</v>
      </c>
      <c r="H79" s="479">
        <v>4000</v>
      </c>
      <c r="I79" s="479">
        <v>0</v>
      </c>
      <c r="J79" s="479">
        <v>0</v>
      </c>
      <c r="K79" s="480">
        <v>0</v>
      </c>
      <c r="L79" s="481">
        <v>4000</v>
      </c>
    </row>
    <row r="80" spans="1:12">
      <c r="B80" s="437" t="s">
        <v>1788</v>
      </c>
      <c r="C80" s="479">
        <v>268672.09000000003</v>
      </c>
      <c r="D80" s="479">
        <v>340672.09</v>
      </c>
      <c r="E80" s="479">
        <v>0</v>
      </c>
      <c r="F80" s="479">
        <v>0</v>
      </c>
      <c r="G80" s="480">
        <v>0</v>
      </c>
      <c r="H80" s="479">
        <v>340672.09</v>
      </c>
      <c r="I80" s="479">
        <v>0</v>
      </c>
      <c r="J80" s="479">
        <v>0</v>
      </c>
      <c r="K80" s="480">
        <v>0</v>
      </c>
      <c r="L80" s="481">
        <v>340672.09</v>
      </c>
    </row>
    <row r="81" spans="1:12">
      <c r="A81" s="635" t="s">
        <v>1789</v>
      </c>
      <c r="B81" s="636"/>
      <c r="C81" s="479">
        <v>110876</v>
      </c>
      <c r="D81" s="479">
        <v>110876</v>
      </c>
      <c r="E81" s="479">
        <v>6600.6</v>
      </c>
      <c r="F81" s="479">
        <v>19349.66</v>
      </c>
      <c r="G81" s="480">
        <v>0.03</v>
      </c>
      <c r="H81" s="479">
        <v>91526.34</v>
      </c>
      <c r="I81" s="479">
        <v>6195.6</v>
      </c>
      <c r="J81" s="479">
        <v>18470.46</v>
      </c>
      <c r="K81" s="479">
        <v>0.03</v>
      </c>
      <c r="L81" s="481">
        <v>92405.54</v>
      </c>
    </row>
    <row r="82" spans="1:12">
      <c r="B82" s="437" t="s">
        <v>1790</v>
      </c>
      <c r="C82" s="479">
        <v>30329.8</v>
      </c>
      <c r="D82" s="479">
        <v>30329.8</v>
      </c>
      <c r="E82" s="479">
        <v>0</v>
      </c>
      <c r="F82" s="479">
        <v>0</v>
      </c>
      <c r="G82" s="480">
        <v>0</v>
      </c>
      <c r="H82" s="479">
        <v>30329.8</v>
      </c>
      <c r="I82" s="479">
        <v>0</v>
      </c>
      <c r="J82" s="479">
        <v>0</v>
      </c>
      <c r="K82" s="480">
        <v>0</v>
      </c>
      <c r="L82" s="481">
        <v>30329.8</v>
      </c>
    </row>
    <row r="83" spans="1:12">
      <c r="B83" s="437" t="s">
        <v>1791</v>
      </c>
      <c r="C83" s="479">
        <v>80546.2</v>
      </c>
      <c r="D83" s="479">
        <v>80546.2</v>
      </c>
      <c r="E83" s="479">
        <v>6600.6</v>
      </c>
      <c r="F83" s="479">
        <v>19349.66</v>
      </c>
      <c r="G83" s="480">
        <v>0.03</v>
      </c>
      <c r="H83" s="479">
        <v>61196.54</v>
      </c>
      <c r="I83" s="479">
        <v>6195.6</v>
      </c>
      <c r="J83" s="479">
        <v>18470.46</v>
      </c>
      <c r="K83" s="480">
        <v>0.03</v>
      </c>
      <c r="L83" s="481">
        <v>62075.74</v>
      </c>
    </row>
    <row r="84" spans="1:12">
      <c r="A84" s="635" t="s">
        <v>1792</v>
      </c>
      <c r="B84" s="636"/>
      <c r="C84" s="479">
        <v>111000</v>
      </c>
      <c r="D84" s="479">
        <v>97000</v>
      </c>
      <c r="E84" s="479">
        <v>2936.9</v>
      </c>
      <c r="F84" s="479">
        <v>43075.06</v>
      </c>
      <c r="G84" s="480">
        <v>0.06</v>
      </c>
      <c r="H84" s="479">
        <v>53924.94</v>
      </c>
      <c r="I84" s="479">
        <v>14036.77</v>
      </c>
      <c r="J84" s="479">
        <v>24458.52</v>
      </c>
      <c r="K84" s="479">
        <v>0.04</v>
      </c>
      <c r="L84" s="481">
        <v>72541.48</v>
      </c>
    </row>
    <row r="85" spans="1:12">
      <c r="B85" s="437" t="s">
        <v>1779</v>
      </c>
      <c r="C85" s="479">
        <v>9500</v>
      </c>
      <c r="D85" s="479">
        <v>5500</v>
      </c>
      <c r="E85" s="479">
        <v>0</v>
      </c>
      <c r="F85" s="479">
        <v>0</v>
      </c>
      <c r="G85" s="480">
        <v>0</v>
      </c>
      <c r="H85" s="479">
        <v>5500</v>
      </c>
      <c r="I85" s="479">
        <v>0</v>
      </c>
      <c r="J85" s="479">
        <v>0</v>
      </c>
      <c r="K85" s="480">
        <v>0</v>
      </c>
      <c r="L85" s="481">
        <v>5500</v>
      </c>
    </row>
    <row r="86" spans="1:12">
      <c r="B86" s="437" t="s">
        <v>1793</v>
      </c>
      <c r="C86" s="479">
        <v>46500</v>
      </c>
      <c r="D86" s="479">
        <v>36500</v>
      </c>
      <c r="E86" s="479">
        <v>2936.9</v>
      </c>
      <c r="F86" s="479">
        <v>2936.9</v>
      </c>
      <c r="G86" s="480">
        <v>0</v>
      </c>
      <c r="H86" s="479">
        <v>33563.1</v>
      </c>
      <c r="I86" s="479">
        <v>2454.6</v>
      </c>
      <c r="J86" s="479">
        <v>2454.6</v>
      </c>
      <c r="K86" s="480">
        <v>0</v>
      </c>
      <c r="L86" s="481">
        <v>34045.4</v>
      </c>
    </row>
    <row r="87" spans="1:12">
      <c r="B87" s="437" t="s">
        <v>1794</v>
      </c>
      <c r="C87" s="479">
        <v>55000</v>
      </c>
      <c r="D87" s="479">
        <v>55000</v>
      </c>
      <c r="E87" s="479">
        <v>0</v>
      </c>
      <c r="F87" s="479">
        <v>40138.160000000003</v>
      </c>
      <c r="G87" s="480">
        <v>0.06</v>
      </c>
      <c r="H87" s="479">
        <v>14861.84</v>
      </c>
      <c r="I87" s="479">
        <v>11582.17</v>
      </c>
      <c r="J87" s="479">
        <v>22003.919999999998</v>
      </c>
      <c r="K87" s="480">
        <v>0.04</v>
      </c>
      <c r="L87" s="481">
        <v>32996.080000000002</v>
      </c>
    </row>
    <row r="88" spans="1:12">
      <c r="A88" s="635" t="s">
        <v>1795</v>
      </c>
      <c r="B88" s="636"/>
      <c r="C88" s="479">
        <v>417795.95</v>
      </c>
      <c r="D88" s="479">
        <v>898556.95</v>
      </c>
      <c r="E88" s="479">
        <v>84030.01</v>
      </c>
      <c r="F88" s="479">
        <v>285219.40999999997</v>
      </c>
      <c r="G88" s="480">
        <v>0.42</v>
      </c>
      <c r="H88" s="479">
        <v>613337.54</v>
      </c>
      <c r="I88" s="479">
        <v>7578.68</v>
      </c>
      <c r="J88" s="479">
        <v>66154.77</v>
      </c>
      <c r="K88" s="479">
        <v>0.11</v>
      </c>
      <c r="L88" s="481">
        <v>832402.18</v>
      </c>
    </row>
    <row r="89" spans="1:12">
      <c r="B89" s="437" t="s">
        <v>1744</v>
      </c>
      <c r="C89" s="479">
        <v>62930.95</v>
      </c>
      <c r="D89" s="479">
        <v>566180.94999999995</v>
      </c>
      <c r="E89" s="479">
        <v>76085.009999999995</v>
      </c>
      <c r="F89" s="479">
        <v>76085.009999999995</v>
      </c>
      <c r="G89" s="480">
        <v>0.11</v>
      </c>
      <c r="H89" s="479">
        <v>490095.94</v>
      </c>
      <c r="I89" s="479">
        <v>0</v>
      </c>
      <c r="J89" s="479">
        <v>0</v>
      </c>
      <c r="K89" s="480">
        <v>0</v>
      </c>
      <c r="L89" s="481">
        <v>566180.94999999995</v>
      </c>
    </row>
    <row r="90" spans="1:12">
      <c r="B90" s="437" t="s">
        <v>1794</v>
      </c>
      <c r="C90" s="479">
        <v>48350</v>
      </c>
      <c r="D90" s="479">
        <v>48350</v>
      </c>
      <c r="E90" s="479">
        <v>7240</v>
      </c>
      <c r="F90" s="479">
        <v>14616</v>
      </c>
      <c r="G90" s="480">
        <v>0.02</v>
      </c>
      <c r="H90" s="479">
        <v>33734</v>
      </c>
      <c r="I90" s="479">
        <v>7240</v>
      </c>
      <c r="J90" s="479">
        <v>14616</v>
      </c>
      <c r="K90" s="480">
        <v>0.02</v>
      </c>
      <c r="L90" s="481">
        <v>33734</v>
      </c>
    </row>
    <row r="91" spans="1:12">
      <c r="B91" s="437" t="s">
        <v>1796</v>
      </c>
      <c r="C91" s="479">
        <v>229002</v>
      </c>
      <c r="D91" s="479">
        <v>221512</v>
      </c>
      <c r="E91" s="479">
        <v>705</v>
      </c>
      <c r="F91" s="479">
        <v>192789.4</v>
      </c>
      <c r="G91" s="480">
        <v>0.28000000000000003</v>
      </c>
      <c r="H91" s="479">
        <v>28722.6</v>
      </c>
      <c r="I91" s="479">
        <v>338.68</v>
      </c>
      <c r="J91" s="479">
        <v>49809.77</v>
      </c>
      <c r="K91" s="480">
        <v>0.08</v>
      </c>
      <c r="L91" s="481">
        <v>171702.23</v>
      </c>
    </row>
    <row r="92" spans="1:12">
      <c r="B92" s="437" t="s">
        <v>1797</v>
      </c>
      <c r="C92" s="479">
        <v>70513</v>
      </c>
      <c r="D92" s="479">
        <v>55514</v>
      </c>
      <c r="E92" s="479">
        <v>0</v>
      </c>
      <c r="F92" s="479">
        <v>0</v>
      </c>
      <c r="G92" s="480">
        <v>0</v>
      </c>
      <c r="H92" s="479">
        <v>55514</v>
      </c>
      <c r="I92" s="479">
        <v>0</v>
      </c>
      <c r="J92" s="479">
        <v>0</v>
      </c>
      <c r="K92" s="480">
        <v>0</v>
      </c>
      <c r="L92" s="481">
        <v>55514</v>
      </c>
    </row>
    <row r="93" spans="1:12">
      <c r="B93" s="437" t="s">
        <v>1798</v>
      </c>
      <c r="C93" s="479">
        <v>7000</v>
      </c>
      <c r="D93" s="479">
        <v>7000</v>
      </c>
      <c r="E93" s="479">
        <v>0</v>
      </c>
      <c r="F93" s="479">
        <v>1729</v>
      </c>
      <c r="G93" s="480">
        <v>0</v>
      </c>
      <c r="H93" s="479">
        <v>5271</v>
      </c>
      <c r="I93" s="479">
        <v>0</v>
      </c>
      <c r="J93" s="479">
        <v>1729</v>
      </c>
      <c r="K93" s="480">
        <v>0</v>
      </c>
      <c r="L93" s="481">
        <v>5271</v>
      </c>
    </row>
    <row r="94" spans="1:12">
      <c r="A94" s="635" t="s">
        <v>1799</v>
      </c>
      <c r="B94" s="636"/>
      <c r="C94" s="479">
        <v>6001</v>
      </c>
      <c r="D94" s="479">
        <v>6001</v>
      </c>
      <c r="E94" s="479">
        <v>0</v>
      </c>
      <c r="F94" s="479">
        <v>0</v>
      </c>
      <c r="G94" s="480">
        <v>0</v>
      </c>
      <c r="H94" s="479">
        <v>6001</v>
      </c>
      <c r="I94" s="479">
        <v>0</v>
      </c>
      <c r="J94" s="479">
        <v>0</v>
      </c>
      <c r="K94" s="479">
        <v>0</v>
      </c>
      <c r="L94" s="481">
        <v>6001</v>
      </c>
    </row>
    <row r="95" spans="1:12">
      <c r="B95" s="437" t="s">
        <v>1800</v>
      </c>
      <c r="C95" s="479">
        <v>6001</v>
      </c>
      <c r="D95" s="479">
        <v>6001</v>
      </c>
      <c r="E95" s="479">
        <v>0</v>
      </c>
      <c r="F95" s="479">
        <v>0</v>
      </c>
      <c r="G95" s="480">
        <v>0</v>
      </c>
      <c r="H95" s="479">
        <v>6001</v>
      </c>
      <c r="I95" s="479">
        <v>0</v>
      </c>
      <c r="J95" s="479">
        <v>0</v>
      </c>
      <c r="K95" s="480">
        <v>0</v>
      </c>
      <c r="L95" s="481">
        <v>6001</v>
      </c>
    </row>
    <row r="96" spans="1:12">
      <c r="A96" s="635" t="s">
        <v>1801</v>
      </c>
      <c r="B96" s="636"/>
      <c r="C96" s="479">
        <v>73007</v>
      </c>
      <c r="D96" s="479">
        <v>73007</v>
      </c>
      <c r="E96" s="479">
        <v>-715.05</v>
      </c>
      <c r="F96" s="479">
        <v>27443.95</v>
      </c>
      <c r="G96" s="480">
        <v>0.04</v>
      </c>
      <c r="H96" s="479">
        <v>45563.05</v>
      </c>
      <c r="I96" s="479">
        <v>4795.6899999999996</v>
      </c>
      <c r="J96" s="479">
        <v>15443.95</v>
      </c>
      <c r="K96" s="479">
        <v>0.02</v>
      </c>
      <c r="L96" s="481">
        <v>57563.05</v>
      </c>
    </row>
    <row r="97" spans="1:12">
      <c r="B97" s="437" t="s">
        <v>1802</v>
      </c>
      <c r="C97" s="479">
        <v>73000</v>
      </c>
      <c r="D97" s="479">
        <v>73000</v>
      </c>
      <c r="E97" s="479">
        <v>-715.05</v>
      </c>
      <c r="F97" s="479">
        <v>27443.95</v>
      </c>
      <c r="G97" s="480">
        <v>0.04</v>
      </c>
      <c r="H97" s="479">
        <v>45556.05</v>
      </c>
      <c r="I97" s="479">
        <v>4795.6899999999996</v>
      </c>
      <c r="J97" s="479">
        <v>15443.95</v>
      </c>
      <c r="K97" s="480">
        <v>0.02</v>
      </c>
      <c r="L97" s="481">
        <v>57556.05</v>
      </c>
    </row>
    <row r="98" spans="1:12">
      <c r="B98" s="437" t="s">
        <v>1753</v>
      </c>
      <c r="C98" s="479">
        <v>7</v>
      </c>
      <c r="D98" s="479">
        <v>7</v>
      </c>
      <c r="E98" s="479">
        <v>0</v>
      </c>
      <c r="F98" s="479">
        <v>0</v>
      </c>
      <c r="G98" s="480">
        <v>0</v>
      </c>
      <c r="H98" s="479">
        <v>7</v>
      </c>
      <c r="I98" s="479">
        <v>0</v>
      </c>
      <c r="J98" s="479">
        <v>0</v>
      </c>
      <c r="K98" s="480">
        <v>0</v>
      </c>
      <c r="L98" s="481">
        <v>7</v>
      </c>
    </row>
    <row r="99" spans="1:12">
      <c r="A99" s="635" t="s">
        <v>1803</v>
      </c>
      <c r="B99" s="636"/>
      <c r="C99" s="479">
        <v>35000</v>
      </c>
      <c r="D99" s="479">
        <v>35000</v>
      </c>
      <c r="E99" s="479">
        <v>0</v>
      </c>
      <c r="F99" s="479">
        <v>15669.58</v>
      </c>
      <c r="G99" s="480">
        <v>0.02</v>
      </c>
      <c r="H99" s="479">
        <v>19330.419999999998</v>
      </c>
      <c r="I99" s="479">
        <v>5271.91</v>
      </c>
      <c r="J99" s="479">
        <v>13464.55</v>
      </c>
      <c r="K99" s="479">
        <v>0.02</v>
      </c>
      <c r="L99" s="481">
        <v>21535.45</v>
      </c>
    </row>
    <row r="100" spans="1:12">
      <c r="B100" s="437" t="s">
        <v>1804</v>
      </c>
      <c r="C100" s="479">
        <v>35000</v>
      </c>
      <c r="D100" s="479">
        <v>35000</v>
      </c>
      <c r="E100" s="479">
        <v>0</v>
      </c>
      <c r="F100" s="479">
        <v>15669.58</v>
      </c>
      <c r="G100" s="480">
        <v>0.02</v>
      </c>
      <c r="H100" s="479">
        <v>19330.419999999998</v>
      </c>
      <c r="I100" s="479">
        <v>5271.91</v>
      </c>
      <c r="J100" s="479">
        <v>13464.55</v>
      </c>
      <c r="K100" s="480">
        <v>0.02</v>
      </c>
      <c r="L100" s="481">
        <v>21535.45</v>
      </c>
    </row>
    <row r="101" spans="1:12">
      <c r="A101" s="635" t="s">
        <v>1805</v>
      </c>
      <c r="B101" s="636"/>
      <c r="C101" s="479">
        <v>262643.38</v>
      </c>
      <c r="D101" s="479">
        <v>493441.38</v>
      </c>
      <c r="E101" s="479">
        <v>113425.37</v>
      </c>
      <c r="F101" s="479">
        <v>464593.19</v>
      </c>
      <c r="G101" s="480">
        <v>0.68</v>
      </c>
      <c r="H101" s="479">
        <v>28848.19</v>
      </c>
      <c r="I101" s="479">
        <v>241140.14</v>
      </c>
      <c r="J101" s="479">
        <v>464593.19</v>
      </c>
      <c r="K101" s="479">
        <v>0.74</v>
      </c>
      <c r="L101" s="481">
        <v>28848.19</v>
      </c>
    </row>
    <row r="102" spans="1:12">
      <c r="B102" s="437" t="s">
        <v>1806</v>
      </c>
      <c r="C102" s="479">
        <v>262643.38</v>
      </c>
      <c r="D102" s="479">
        <v>493441.38</v>
      </c>
      <c r="E102" s="479">
        <v>113425.37</v>
      </c>
      <c r="F102" s="479">
        <v>464593.19</v>
      </c>
      <c r="G102" s="480">
        <v>0.68</v>
      </c>
      <c r="H102" s="479">
        <v>28848.19</v>
      </c>
      <c r="I102" s="479">
        <v>241140.14</v>
      </c>
      <c r="J102" s="479">
        <v>464593.19</v>
      </c>
      <c r="K102" s="480">
        <v>0.74</v>
      </c>
      <c r="L102" s="481">
        <v>28848.19</v>
      </c>
    </row>
    <row r="103" spans="1:12">
      <c r="A103" s="635" t="s">
        <v>1807</v>
      </c>
      <c r="B103" s="636"/>
      <c r="C103" s="479">
        <v>354595.83</v>
      </c>
      <c r="D103" s="479">
        <v>364095.83</v>
      </c>
      <c r="E103" s="479">
        <v>6219.02</v>
      </c>
      <c r="F103" s="479">
        <v>38797.919999999998</v>
      </c>
      <c r="G103" s="480">
        <v>0.06</v>
      </c>
      <c r="H103" s="479">
        <v>325297.90999999997</v>
      </c>
      <c r="I103" s="479">
        <v>12091.85</v>
      </c>
      <c r="J103" s="479">
        <v>26151.19</v>
      </c>
      <c r="K103" s="479">
        <v>0.04</v>
      </c>
      <c r="L103" s="481">
        <v>337944.64</v>
      </c>
    </row>
    <row r="104" spans="1:12">
      <c r="B104" s="437" t="s">
        <v>1808</v>
      </c>
      <c r="C104" s="479">
        <v>354595.83</v>
      </c>
      <c r="D104" s="479">
        <v>364095.83</v>
      </c>
      <c r="E104" s="479">
        <v>6219.02</v>
      </c>
      <c r="F104" s="479">
        <v>38797.919999999998</v>
      </c>
      <c r="G104" s="480">
        <v>0.06</v>
      </c>
      <c r="H104" s="479">
        <v>325297.90999999997</v>
      </c>
      <c r="I104" s="479">
        <v>12091.85</v>
      </c>
      <c r="J104" s="479">
        <v>26151.19</v>
      </c>
      <c r="K104" s="480">
        <v>0.04</v>
      </c>
      <c r="L104" s="481">
        <v>337944.64</v>
      </c>
    </row>
    <row r="105" spans="1:12">
      <c r="A105" s="635" t="s">
        <v>1809</v>
      </c>
      <c r="B105" s="636"/>
      <c r="C105" s="479">
        <v>948998</v>
      </c>
      <c r="D105" s="479">
        <v>948998</v>
      </c>
      <c r="E105" s="479">
        <v>2671.84</v>
      </c>
      <c r="F105" s="479">
        <v>785520.1</v>
      </c>
      <c r="G105" s="480">
        <v>1.1499999999999999</v>
      </c>
      <c r="H105" s="479">
        <v>163477.9</v>
      </c>
      <c r="I105" s="479">
        <v>125688.97</v>
      </c>
      <c r="J105" s="479">
        <v>368379.48</v>
      </c>
      <c r="K105" s="479">
        <v>0.59</v>
      </c>
      <c r="L105" s="481">
        <v>580618.52</v>
      </c>
    </row>
    <row r="106" spans="1:12">
      <c r="B106" s="437" t="s">
        <v>1810</v>
      </c>
      <c r="C106" s="479">
        <v>948998</v>
      </c>
      <c r="D106" s="479">
        <v>948998</v>
      </c>
      <c r="E106" s="479">
        <v>2671.84</v>
      </c>
      <c r="F106" s="479">
        <v>785520.1</v>
      </c>
      <c r="G106" s="480">
        <v>1.1499999999999999</v>
      </c>
      <c r="H106" s="479">
        <v>163477.9</v>
      </c>
      <c r="I106" s="479">
        <v>125688.97</v>
      </c>
      <c r="J106" s="479">
        <v>368379.48</v>
      </c>
      <c r="K106" s="480">
        <v>0.59</v>
      </c>
      <c r="L106" s="481">
        <v>580618.52</v>
      </c>
    </row>
    <row r="107" spans="1:12">
      <c r="A107" s="635" t="s">
        <v>1811</v>
      </c>
      <c r="B107" s="636"/>
      <c r="C107" s="479">
        <v>1313770.51</v>
      </c>
      <c r="D107" s="479">
        <v>8984.18</v>
      </c>
      <c r="E107" s="479">
        <v>0</v>
      </c>
      <c r="F107" s="479">
        <v>0</v>
      </c>
      <c r="G107" s="480">
        <v>0</v>
      </c>
      <c r="H107" s="479">
        <v>8984.18</v>
      </c>
      <c r="I107" s="479">
        <v>0</v>
      </c>
      <c r="J107" s="479">
        <v>0</v>
      </c>
      <c r="K107" s="479">
        <v>0</v>
      </c>
      <c r="L107" s="481">
        <v>8984.18</v>
      </c>
    </row>
    <row r="108" spans="1:12">
      <c r="B108" s="437" t="s">
        <v>1811</v>
      </c>
      <c r="C108" s="479">
        <v>1313770.51</v>
      </c>
      <c r="D108" s="479">
        <v>8984.18</v>
      </c>
      <c r="E108" s="479">
        <v>0</v>
      </c>
      <c r="F108" s="479">
        <v>0</v>
      </c>
      <c r="G108" s="480">
        <v>0</v>
      </c>
      <c r="H108" s="479">
        <v>8984.18</v>
      </c>
      <c r="I108" s="479">
        <v>0</v>
      </c>
      <c r="J108" s="479">
        <v>0</v>
      </c>
      <c r="K108" s="480">
        <v>0</v>
      </c>
      <c r="L108" s="481">
        <v>8984.18</v>
      </c>
    </row>
    <row r="109" spans="1:12">
      <c r="A109" s="437" t="s">
        <v>1812</v>
      </c>
      <c r="B109" s="26"/>
      <c r="C109" s="479">
        <v>26505978.600000001</v>
      </c>
      <c r="D109" s="479">
        <v>27219067.600000001</v>
      </c>
      <c r="E109" s="479">
        <v>3706028.88</v>
      </c>
      <c r="F109" s="479">
        <v>11286307.869999999</v>
      </c>
      <c r="G109" s="479">
        <v>16.502154019706989</v>
      </c>
      <c r="H109" s="479">
        <v>15932759.73</v>
      </c>
      <c r="I109" s="479">
        <v>3706028.88</v>
      </c>
      <c r="J109" s="479">
        <v>11286307.869999999</v>
      </c>
      <c r="K109" s="479">
        <v>18.051812354928561</v>
      </c>
      <c r="L109" s="481">
        <v>15932759.73</v>
      </c>
    </row>
    <row r="110" spans="1:12">
      <c r="A110" s="640" t="s">
        <v>1813</v>
      </c>
      <c r="B110" s="641"/>
      <c r="C110" s="482">
        <v>137392690.61000001</v>
      </c>
      <c r="D110" s="482">
        <v>143642569</v>
      </c>
      <c r="E110" s="482">
        <v>19846563.829999998</v>
      </c>
      <c r="F110" s="482">
        <v>68392937.409999996</v>
      </c>
      <c r="G110" s="483" t="s">
        <v>1814</v>
      </c>
      <c r="H110" s="482">
        <v>75249631.590000004</v>
      </c>
      <c r="I110" s="482">
        <v>21656350.670000002</v>
      </c>
      <c r="J110" s="482">
        <v>62521743.789999999</v>
      </c>
      <c r="K110" s="483" t="s">
        <v>1814</v>
      </c>
      <c r="L110" s="484">
        <v>81120825.209999993</v>
      </c>
    </row>
    <row r="111" spans="1:12">
      <c r="A111" s="485" t="s">
        <v>1815</v>
      </c>
      <c r="B111" s="486"/>
      <c r="C111" s="487">
        <v>26505978.600000001</v>
      </c>
      <c r="D111" s="487">
        <v>27219067.600000001</v>
      </c>
      <c r="E111" s="487">
        <v>3706028.88</v>
      </c>
      <c r="F111" s="487">
        <v>11286307.869999999</v>
      </c>
      <c r="G111" s="487">
        <v>16.502154019706989</v>
      </c>
      <c r="H111" s="487">
        <v>15932759.73</v>
      </c>
      <c r="I111" s="487">
        <v>3706028.88</v>
      </c>
      <c r="J111" s="487">
        <v>11286307.869999999</v>
      </c>
      <c r="K111" s="487">
        <v>18.051812354928561</v>
      </c>
      <c r="L111" s="488">
        <v>15932759.73</v>
      </c>
    </row>
    <row r="112" spans="1:12">
      <c r="A112" s="635" t="s">
        <v>1738</v>
      </c>
      <c r="B112" s="636"/>
      <c r="C112" s="479">
        <v>502000</v>
      </c>
      <c r="D112" s="479">
        <v>502000</v>
      </c>
      <c r="E112" s="479">
        <v>26823.18</v>
      </c>
      <c r="F112" s="479">
        <v>81762.3</v>
      </c>
      <c r="G112" s="480">
        <v>0.12</v>
      </c>
      <c r="H112" s="479">
        <v>420237.7</v>
      </c>
      <c r="I112" s="479">
        <v>26823.18</v>
      </c>
      <c r="J112" s="479">
        <v>81762.3</v>
      </c>
      <c r="K112" s="479">
        <v>0.13</v>
      </c>
      <c r="L112" s="481">
        <v>420237.7</v>
      </c>
    </row>
    <row r="113" spans="1:12">
      <c r="B113" s="437" t="s">
        <v>1739</v>
      </c>
      <c r="C113" s="479">
        <v>502000</v>
      </c>
      <c r="D113" s="479">
        <v>502000</v>
      </c>
      <c r="E113" s="479">
        <v>26823.18</v>
      </c>
      <c r="F113" s="479">
        <v>81762.3</v>
      </c>
      <c r="G113" s="480">
        <v>0.12</v>
      </c>
      <c r="H113" s="479">
        <v>420237.7</v>
      </c>
      <c r="I113" s="479">
        <v>26823.18</v>
      </c>
      <c r="J113" s="479">
        <v>81762.3</v>
      </c>
      <c r="K113" s="480">
        <v>0.13</v>
      </c>
      <c r="L113" s="481">
        <v>420237.7</v>
      </c>
    </row>
    <row r="114" spans="1:12">
      <c r="A114" s="635" t="s">
        <v>1743</v>
      </c>
      <c r="B114" s="636"/>
      <c r="C114" s="479">
        <v>10077814.619999999</v>
      </c>
      <c r="D114" s="479">
        <v>10363114.619999999</v>
      </c>
      <c r="E114" s="479">
        <v>1602967.69</v>
      </c>
      <c r="F114" s="479">
        <v>4808871.67</v>
      </c>
      <c r="G114" s="480">
        <v>7.03</v>
      </c>
      <c r="H114" s="479">
        <v>5554242.9500000002</v>
      </c>
      <c r="I114" s="479">
        <v>1602967.69</v>
      </c>
      <c r="J114" s="479">
        <v>4808871.67</v>
      </c>
      <c r="K114" s="479">
        <v>7.69</v>
      </c>
      <c r="L114" s="481">
        <v>5554242.9500000002</v>
      </c>
    </row>
    <row r="115" spans="1:12">
      <c r="B115" s="437" t="s">
        <v>1744</v>
      </c>
      <c r="C115" s="479">
        <v>10077814.619999999</v>
      </c>
      <c r="D115" s="479">
        <v>10363114.619999999</v>
      </c>
      <c r="E115" s="479">
        <v>1602967.69</v>
      </c>
      <c r="F115" s="479">
        <v>4808871.67</v>
      </c>
      <c r="G115" s="480">
        <v>7.03</v>
      </c>
      <c r="H115" s="479">
        <v>5554242.9500000002</v>
      </c>
      <c r="I115" s="479">
        <v>1602967.69</v>
      </c>
      <c r="J115" s="479">
        <v>4808871.67</v>
      </c>
      <c r="K115" s="480">
        <v>7.69</v>
      </c>
      <c r="L115" s="481">
        <v>5554242.9500000002</v>
      </c>
    </row>
    <row r="116" spans="1:12">
      <c r="A116" s="635" t="s">
        <v>1754</v>
      </c>
      <c r="B116" s="636"/>
      <c r="C116" s="479">
        <v>400</v>
      </c>
      <c r="D116" s="479">
        <v>400</v>
      </c>
      <c r="E116" s="479">
        <v>0</v>
      </c>
      <c r="F116" s="479">
        <v>0</v>
      </c>
      <c r="G116" s="480">
        <v>0</v>
      </c>
      <c r="H116" s="479">
        <v>400</v>
      </c>
      <c r="I116" s="479">
        <v>0</v>
      </c>
      <c r="J116" s="479">
        <v>0</v>
      </c>
      <c r="K116" s="479">
        <v>0</v>
      </c>
      <c r="L116" s="481">
        <v>400</v>
      </c>
    </row>
    <row r="117" spans="1:12">
      <c r="B117" s="437" t="s">
        <v>1755</v>
      </c>
      <c r="C117" s="479">
        <v>400</v>
      </c>
      <c r="D117" s="479">
        <v>400</v>
      </c>
      <c r="E117" s="479">
        <v>0</v>
      </c>
      <c r="F117" s="479">
        <v>0</v>
      </c>
      <c r="G117" s="480">
        <v>0</v>
      </c>
      <c r="H117" s="479">
        <v>400</v>
      </c>
      <c r="I117" s="479">
        <v>0</v>
      </c>
      <c r="J117" s="479">
        <v>0</v>
      </c>
      <c r="K117" s="480">
        <v>0</v>
      </c>
      <c r="L117" s="481">
        <v>400</v>
      </c>
    </row>
    <row r="118" spans="1:12">
      <c r="A118" s="635" t="s">
        <v>1758</v>
      </c>
      <c r="B118" s="636"/>
      <c r="C118" s="479">
        <v>546942.52</v>
      </c>
      <c r="D118" s="479">
        <v>531942.52</v>
      </c>
      <c r="E118" s="479">
        <v>78728.36</v>
      </c>
      <c r="F118" s="479">
        <v>239849.58</v>
      </c>
      <c r="G118" s="480">
        <v>0.35</v>
      </c>
      <c r="H118" s="479">
        <v>292092.94</v>
      </c>
      <c r="I118" s="479">
        <v>78728.36</v>
      </c>
      <c r="J118" s="479">
        <v>239849.58</v>
      </c>
      <c r="K118" s="479">
        <v>0.38</v>
      </c>
      <c r="L118" s="481">
        <v>292092.94</v>
      </c>
    </row>
    <row r="119" spans="1:12">
      <c r="B119" s="437" t="s">
        <v>1744</v>
      </c>
      <c r="C119" s="479">
        <v>546942.52</v>
      </c>
      <c r="D119" s="479">
        <v>531942.52</v>
      </c>
      <c r="E119" s="479">
        <v>78728.36</v>
      </c>
      <c r="F119" s="479">
        <v>239849.58</v>
      </c>
      <c r="G119" s="480">
        <v>0.35</v>
      </c>
      <c r="H119" s="479">
        <v>292092.94</v>
      </c>
      <c r="I119" s="479">
        <v>78728.36</v>
      </c>
      <c r="J119" s="479">
        <v>239849.58</v>
      </c>
      <c r="K119" s="480">
        <v>0.38</v>
      </c>
      <c r="L119" s="481">
        <v>292092.94</v>
      </c>
    </row>
    <row r="120" spans="1:12">
      <c r="A120" s="635" t="s">
        <v>1766</v>
      </c>
      <c r="B120" s="636"/>
      <c r="C120" s="479">
        <v>5063628.7</v>
      </c>
      <c r="D120" s="479">
        <v>4846528.7</v>
      </c>
      <c r="E120" s="479">
        <v>671444.03</v>
      </c>
      <c r="F120" s="479">
        <v>2045469.22</v>
      </c>
      <c r="G120" s="480">
        <v>2.99</v>
      </c>
      <c r="H120" s="479">
        <v>2801059.48</v>
      </c>
      <c r="I120" s="479">
        <v>671444.03</v>
      </c>
      <c r="J120" s="479">
        <v>2045469.22</v>
      </c>
      <c r="K120" s="479">
        <v>3.27</v>
      </c>
      <c r="L120" s="481">
        <v>2801059.48</v>
      </c>
    </row>
    <row r="121" spans="1:12">
      <c r="B121" s="437" t="s">
        <v>1744</v>
      </c>
      <c r="C121" s="479">
        <v>5062628.7</v>
      </c>
      <c r="D121" s="479">
        <v>4845528.7</v>
      </c>
      <c r="E121" s="479">
        <v>671444.03</v>
      </c>
      <c r="F121" s="479">
        <v>2045469.22</v>
      </c>
      <c r="G121" s="480">
        <v>2.99</v>
      </c>
      <c r="H121" s="479">
        <v>2800059.48</v>
      </c>
      <c r="I121" s="479">
        <v>671444.03</v>
      </c>
      <c r="J121" s="479">
        <v>2045469.22</v>
      </c>
      <c r="K121" s="480">
        <v>3.27</v>
      </c>
      <c r="L121" s="481">
        <v>2800059.48</v>
      </c>
    </row>
    <row r="122" spans="1:12">
      <c r="B122" s="437" t="s">
        <v>1740</v>
      </c>
      <c r="C122" s="479">
        <v>1000</v>
      </c>
      <c r="D122" s="479">
        <v>1000</v>
      </c>
      <c r="E122" s="479">
        <v>0</v>
      </c>
      <c r="F122" s="479">
        <v>0</v>
      </c>
      <c r="G122" s="480">
        <v>0</v>
      </c>
      <c r="H122" s="479">
        <v>1000</v>
      </c>
      <c r="I122" s="479">
        <v>0</v>
      </c>
      <c r="J122" s="479">
        <v>0</v>
      </c>
      <c r="K122" s="480">
        <v>0</v>
      </c>
      <c r="L122" s="481">
        <v>1000</v>
      </c>
    </row>
    <row r="123" spans="1:12">
      <c r="A123" s="635" t="s">
        <v>1772</v>
      </c>
      <c r="B123" s="636"/>
      <c r="C123" s="479">
        <v>10310190.76</v>
      </c>
      <c r="D123" s="479">
        <v>10970079.76</v>
      </c>
      <c r="E123" s="479">
        <v>1326065.6200000001</v>
      </c>
      <c r="F123" s="479">
        <v>4110355.1</v>
      </c>
      <c r="G123" s="480">
        <v>6.01</v>
      </c>
      <c r="H123" s="479">
        <v>6859724.6600000001</v>
      </c>
      <c r="I123" s="479">
        <v>1326065.6200000001</v>
      </c>
      <c r="J123" s="479">
        <v>4110355.1</v>
      </c>
      <c r="K123" s="479">
        <v>6.57</v>
      </c>
      <c r="L123" s="481">
        <v>6859724.6600000001</v>
      </c>
    </row>
    <row r="124" spans="1:12">
      <c r="B124" s="437" t="s">
        <v>1744</v>
      </c>
      <c r="C124" s="479">
        <v>436410.55</v>
      </c>
      <c r="D124" s="479">
        <v>436410.55</v>
      </c>
      <c r="E124" s="479">
        <v>51373.07</v>
      </c>
      <c r="F124" s="479">
        <v>156472.17000000001</v>
      </c>
      <c r="G124" s="480">
        <v>0.23</v>
      </c>
      <c r="H124" s="479">
        <v>279938.38</v>
      </c>
      <c r="I124" s="479">
        <v>51373.07</v>
      </c>
      <c r="J124" s="479">
        <v>156472.17000000001</v>
      </c>
      <c r="K124" s="480">
        <v>0.25</v>
      </c>
      <c r="L124" s="481">
        <v>279938.38</v>
      </c>
    </row>
    <row r="125" spans="1:12">
      <c r="B125" s="437" t="s">
        <v>1773</v>
      </c>
      <c r="C125" s="479">
        <v>6016689.5800000001</v>
      </c>
      <c r="D125" s="479">
        <v>6336578.5800000001</v>
      </c>
      <c r="E125" s="479">
        <v>802633.4</v>
      </c>
      <c r="F125" s="479">
        <v>2440169.98</v>
      </c>
      <c r="G125" s="480">
        <v>3.57</v>
      </c>
      <c r="H125" s="479">
        <v>3896408.6</v>
      </c>
      <c r="I125" s="479">
        <v>802633.4</v>
      </c>
      <c r="J125" s="479">
        <v>2440169.98</v>
      </c>
      <c r="K125" s="480">
        <v>3.9</v>
      </c>
      <c r="L125" s="481">
        <v>3896408.6</v>
      </c>
    </row>
    <row r="126" spans="1:12">
      <c r="B126" s="437" t="s">
        <v>1776</v>
      </c>
      <c r="C126" s="479">
        <v>3013507.94</v>
      </c>
      <c r="D126" s="479">
        <v>3353507.94</v>
      </c>
      <c r="E126" s="479">
        <v>359961.82</v>
      </c>
      <c r="F126" s="479">
        <v>1163996.17</v>
      </c>
      <c r="G126" s="480">
        <v>1.7</v>
      </c>
      <c r="H126" s="479">
        <v>2189511.77</v>
      </c>
      <c r="I126" s="479">
        <v>359961.82</v>
      </c>
      <c r="J126" s="479">
        <v>1163996.17</v>
      </c>
      <c r="K126" s="480">
        <v>1.86</v>
      </c>
      <c r="L126" s="481">
        <v>2189511.77</v>
      </c>
    </row>
    <row r="127" spans="1:12">
      <c r="B127" s="437" t="s">
        <v>1777</v>
      </c>
      <c r="C127" s="479">
        <v>226940.28</v>
      </c>
      <c r="D127" s="479">
        <v>226940.28</v>
      </c>
      <c r="E127" s="479">
        <v>26140.78</v>
      </c>
      <c r="F127" s="479">
        <v>86051.66</v>
      </c>
      <c r="G127" s="480">
        <v>0.13</v>
      </c>
      <c r="H127" s="479">
        <v>140888.62</v>
      </c>
      <c r="I127" s="479">
        <v>26140.78</v>
      </c>
      <c r="J127" s="479">
        <v>86051.66</v>
      </c>
      <c r="K127" s="480">
        <v>0.14000000000000001</v>
      </c>
      <c r="L127" s="481">
        <v>140888.62</v>
      </c>
    </row>
    <row r="128" spans="1:12">
      <c r="B128" s="437" t="s">
        <v>1778</v>
      </c>
      <c r="C128" s="479">
        <v>616642.41</v>
      </c>
      <c r="D128" s="479">
        <v>616642.41</v>
      </c>
      <c r="E128" s="479">
        <v>85956.55</v>
      </c>
      <c r="F128" s="479">
        <v>263665.12</v>
      </c>
      <c r="G128" s="480">
        <v>0.39</v>
      </c>
      <c r="H128" s="479">
        <v>352977.29</v>
      </c>
      <c r="I128" s="479">
        <v>85956.55</v>
      </c>
      <c r="J128" s="479">
        <v>263665.12</v>
      </c>
      <c r="K128" s="480">
        <v>0.42</v>
      </c>
      <c r="L128" s="481">
        <v>352977.29</v>
      </c>
    </row>
    <row r="129" spans="1:12">
      <c r="A129" s="635" t="s">
        <v>1809</v>
      </c>
      <c r="B129" s="636"/>
      <c r="C129" s="479">
        <v>5002</v>
      </c>
      <c r="D129" s="479">
        <v>5002</v>
      </c>
      <c r="E129" s="479">
        <v>0</v>
      </c>
      <c r="F129" s="479">
        <v>0</v>
      </c>
      <c r="G129" s="480">
        <v>0</v>
      </c>
      <c r="H129" s="479">
        <v>5002</v>
      </c>
      <c r="I129" s="479">
        <v>0</v>
      </c>
      <c r="J129" s="479">
        <v>0</v>
      </c>
      <c r="K129" s="479">
        <v>0</v>
      </c>
      <c r="L129" s="481">
        <v>5002</v>
      </c>
    </row>
    <row r="130" spans="1:12">
      <c r="B130" s="437" t="s">
        <v>1810</v>
      </c>
      <c r="C130" s="479">
        <v>5002</v>
      </c>
      <c r="D130" s="479">
        <v>5002</v>
      </c>
      <c r="E130" s="479">
        <v>0</v>
      </c>
      <c r="F130" s="479">
        <v>0</v>
      </c>
      <c r="G130" s="480">
        <v>0</v>
      </c>
      <c r="H130" s="479">
        <v>5002</v>
      </c>
      <c r="I130" s="479">
        <v>0</v>
      </c>
      <c r="J130" s="479">
        <v>0</v>
      </c>
      <c r="K130" s="480">
        <v>0</v>
      </c>
      <c r="L130" s="481">
        <v>5002</v>
      </c>
    </row>
    <row r="131" spans="1:12">
      <c r="A131" s="637" t="s">
        <v>312</v>
      </c>
      <c r="B131" s="638"/>
      <c r="C131" s="489">
        <v>26505978.600000001</v>
      </c>
      <c r="D131" s="489">
        <v>27219067.600000001</v>
      </c>
      <c r="E131" s="489">
        <v>3706028.88</v>
      </c>
      <c r="F131" s="489">
        <v>11286307.869999999</v>
      </c>
      <c r="G131" s="489">
        <v>16.502154019706989</v>
      </c>
      <c r="H131" s="489">
        <v>15932759.73</v>
      </c>
      <c r="I131" s="489">
        <v>3706028.88</v>
      </c>
      <c r="J131" s="489">
        <v>11286307.869999999</v>
      </c>
      <c r="K131" s="489">
        <v>18.051812354928561</v>
      </c>
      <c r="L131" s="490">
        <v>15932759.73</v>
      </c>
    </row>
    <row r="132" spans="1:12">
      <c r="A132" s="639" t="s">
        <v>1816</v>
      </c>
      <c r="B132" s="639"/>
      <c r="C132" s="639"/>
      <c r="D132" s="639"/>
      <c r="E132" s="639"/>
      <c r="F132" s="639"/>
      <c r="G132" s="639"/>
      <c r="H132" s="639"/>
      <c r="I132" s="639"/>
      <c r="J132" s="639"/>
      <c r="K132" s="639"/>
    </row>
    <row r="65536" spans="256:256" ht="15" customHeight="1">
      <c r="IV65536" s="426"/>
    </row>
  </sheetData>
  <mergeCells count="42">
    <mergeCell ref="A7:E7"/>
    <mergeCell ref="A1:L1"/>
    <mergeCell ref="A2:L2"/>
    <mergeCell ref="A3:L3"/>
    <mergeCell ref="A4:L4"/>
    <mergeCell ref="A5:L5"/>
    <mergeCell ref="A58:B58"/>
    <mergeCell ref="A8:B10"/>
    <mergeCell ref="E8:G8"/>
    <mergeCell ref="I8:K8"/>
    <mergeCell ref="A13:B13"/>
    <mergeCell ref="A16:B16"/>
    <mergeCell ref="A18:B18"/>
    <mergeCell ref="A30:B30"/>
    <mergeCell ref="A34:B34"/>
    <mergeCell ref="A42:B42"/>
    <mergeCell ref="A45:B45"/>
    <mergeCell ref="A56:B56"/>
    <mergeCell ref="A103:B103"/>
    <mergeCell ref="A69:B69"/>
    <mergeCell ref="A72:B72"/>
    <mergeCell ref="A75:B75"/>
    <mergeCell ref="A78:B78"/>
    <mergeCell ref="A81:B81"/>
    <mergeCell ref="A84:B84"/>
    <mergeCell ref="A88:B88"/>
    <mergeCell ref="A94:B94"/>
    <mergeCell ref="A96:B96"/>
    <mergeCell ref="A99:B99"/>
    <mergeCell ref="A101:B101"/>
    <mergeCell ref="A132:K132"/>
    <mergeCell ref="A105:B105"/>
    <mergeCell ref="A107:B107"/>
    <mergeCell ref="A110:B110"/>
    <mergeCell ref="A112:B112"/>
    <mergeCell ref="A114:B114"/>
    <mergeCell ref="A116:B116"/>
    <mergeCell ref="A118:B118"/>
    <mergeCell ref="A120:B120"/>
    <mergeCell ref="A123:B123"/>
    <mergeCell ref="A129:B129"/>
    <mergeCell ref="A131:B13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71"/>
  <sheetViews>
    <sheetView topLeftCell="A31" workbookViewId="0">
      <selection activeCell="A164" sqref="A164:J164"/>
    </sheetView>
  </sheetViews>
  <sheetFormatPr defaultRowHeight="15"/>
  <cols>
    <col min="1" max="1" width="63.7109375" customWidth="1"/>
    <col min="2" max="2" width="13.140625" customWidth="1"/>
    <col min="3" max="3" width="4.140625" customWidth="1"/>
    <col min="4" max="4" width="8.140625" customWidth="1"/>
    <col min="5" max="5" width="5" customWidth="1"/>
    <col min="6" max="6" width="13.28515625" customWidth="1"/>
    <col min="7" max="7" width="8.140625" customWidth="1"/>
    <col min="8" max="8" width="1" customWidth="1"/>
    <col min="9" max="9" width="4" customWidth="1"/>
    <col min="10" max="10" width="4.140625" customWidth="1"/>
    <col min="11" max="11" width="4" customWidth="1"/>
    <col min="12" max="12" width="11.140625" customWidth="1"/>
    <col min="13" max="13" width="0.5703125" customWidth="1"/>
  </cols>
  <sheetData>
    <row r="1" spans="1:13" ht="11.85" customHeight="1">
      <c r="A1" s="615" t="s">
        <v>1332</v>
      </c>
      <c r="B1" s="615"/>
      <c r="L1" s="448" t="s">
        <v>1817</v>
      </c>
    </row>
    <row r="2" spans="1:13" ht="11.1" customHeight="1">
      <c r="A2" s="615" t="s">
        <v>1818</v>
      </c>
      <c r="B2" s="615"/>
    </row>
    <row r="3" spans="1:13" ht="11.85" customHeight="1">
      <c r="A3" s="619" t="s">
        <v>1819</v>
      </c>
      <c r="B3" s="619"/>
      <c r="C3" s="619"/>
      <c r="D3" s="619"/>
      <c r="E3" s="619"/>
      <c r="F3" s="619"/>
      <c r="G3" s="619"/>
      <c r="H3" s="619"/>
    </row>
    <row r="4" spans="1:13" ht="11.85" customHeight="1">
      <c r="A4" s="615" t="s">
        <v>1820</v>
      </c>
      <c r="B4" s="615"/>
    </row>
    <row r="5" spans="1:13" ht="11.85" customHeight="1">
      <c r="A5" s="615" t="s">
        <v>1209</v>
      </c>
      <c r="B5" s="615"/>
    </row>
    <row r="6" spans="1:13" ht="5.85" customHeight="1"/>
    <row r="7" spans="1:13" ht="11.1" customHeight="1">
      <c r="A7" s="616" t="s">
        <v>1821</v>
      </c>
      <c r="B7" s="616"/>
      <c r="C7" s="449"/>
      <c r="D7" s="449"/>
      <c r="E7" s="449"/>
      <c r="F7" s="449"/>
      <c r="G7" s="449"/>
      <c r="H7" s="654" t="s">
        <v>1211</v>
      </c>
      <c r="I7" s="654"/>
      <c r="J7" s="654"/>
      <c r="K7" s="654"/>
      <c r="L7" s="654"/>
    </row>
    <row r="8" spans="1:13" ht="11.85" customHeight="1">
      <c r="A8" s="611" t="s">
        <v>1822</v>
      </c>
      <c r="B8" s="612"/>
      <c r="C8" s="612"/>
      <c r="D8" s="612"/>
      <c r="E8" s="612"/>
      <c r="F8" s="612"/>
      <c r="G8" s="612"/>
      <c r="H8" s="612"/>
      <c r="I8" s="612"/>
      <c r="J8" s="612"/>
      <c r="K8" s="612"/>
      <c r="L8" s="613"/>
      <c r="M8" s="450"/>
    </row>
    <row r="9" spans="1:13" ht="11.85" customHeight="1">
      <c r="A9" s="611" t="s">
        <v>1823</v>
      </c>
      <c r="B9" s="612"/>
      <c r="C9" s="612"/>
      <c r="D9" s="612"/>
      <c r="E9" s="612"/>
      <c r="F9" s="612"/>
      <c r="G9" s="612"/>
      <c r="H9" s="612"/>
      <c r="I9" s="612"/>
      <c r="J9" s="612"/>
      <c r="K9" s="612"/>
      <c r="L9" s="613"/>
      <c r="M9" s="450"/>
    </row>
    <row r="10" spans="1:13" ht="28.9" customHeight="1">
      <c r="A10" s="491" t="s">
        <v>1824</v>
      </c>
      <c r="B10" s="597" t="s">
        <v>1825</v>
      </c>
      <c r="C10" s="602"/>
      <c r="D10" s="603"/>
      <c r="E10" s="597" t="s">
        <v>1826</v>
      </c>
      <c r="F10" s="602"/>
      <c r="G10" s="602"/>
      <c r="H10" s="602"/>
      <c r="I10" s="602"/>
      <c r="J10" s="602"/>
      <c r="K10" s="602"/>
      <c r="L10" s="603"/>
      <c r="M10" s="450"/>
    </row>
    <row r="11" spans="1:13" ht="11.85" customHeight="1">
      <c r="A11" s="452" t="s">
        <v>1827</v>
      </c>
      <c r="B11" s="671" t="s">
        <v>1828</v>
      </c>
      <c r="C11" s="672"/>
      <c r="D11" s="673"/>
      <c r="E11" s="671" t="s">
        <v>1829</v>
      </c>
      <c r="F11" s="672"/>
      <c r="G11" s="672"/>
      <c r="H11" s="672"/>
      <c r="I11" s="672"/>
      <c r="J11" s="672"/>
      <c r="K11" s="672"/>
      <c r="L11" s="673"/>
      <c r="M11" s="450"/>
    </row>
    <row r="12" spans="1:13" ht="11.85" customHeight="1">
      <c r="A12" s="492" t="s">
        <v>1830</v>
      </c>
      <c r="B12" s="668" t="s">
        <v>1831</v>
      </c>
      <c r="C12" s="669"/>
      <c r="D12" s="670"/>
      <c r="E12" s="668" t="s">
        <v>1832</v>
      </c>
      <c r="F12" s="669"/>
      <c r="G12" s="669"/>
      <c r="H12" s="669"/>
      <c r="I12" s="669"/>
      <c r="J12" s="669"/>
      <c r="K12" s="669"/>
      <c r="L12" s="670"/>
      <c r="M12" s="450"/>
    </row>
    <row r="13" spans="1:13" ht="11.1" customHeight="1">
      <c r="A13" s="454" t="s">
        <v>1833</v>
      </c>
      <c r="B13" s="589" t="s">
        <v>1834</v>
      </c>
      <c r="C13" s="590"/>
      <c r="D13" s="591"/>
      <c r="E13" s="589" t="s">
        <v>1835</v>
      </c>
      <c r="F13" s="590"/>
      <c r="G13" s="590"/>
      <c r="H13" s="590"/>
      <c r="I13" s="590"/>
      <c r="J13" s="590"/>
      <c r="K13" s="590"/>
      <c r="L13" s="591"/>
      <c r="M13" s="450"/>
    </row>
    <row r="14" spans="1:13" ht="11.85" customHeight="1">
      <c r="A14" s="454" t="s">
        <v>1836</v>
      </c>
      <c r="B14" s="589" t="s">
        <v>1837</v>
      </c>
      <c r="C14" s="590"/>
      <c r="D14" s="591"/>
      <c r="E14" s="589" t="s">
        <v>1838</v>
      </c>
      <c r="F14" s="590"/>
      <c r="G14" s="590"/>
      <c r="H14" s="590"/>
      <c r="I14" s="590"/>
      <c r="J14" s="590"/>
      <c r="K14" s="590"/>
      <c r="L14" s="591"/>
      <c r="M14" s="450"/>
    </row>
    <row r="15" spans="1:13" ht="11.85" customHeight="1">
      <c r="A15" s="454" t="s">
        <v>1839</v>
      </c>
      <c r="B15" s="589" t="s">
        <v>1840</v>
      </c>
      <c r="C15" s="590"/>
      <c r="D15" s="591"/>
      <c r="E15" s="589" t="s">
        <v>1841</v>
      </c>
      <c r="F15" s="590"/>
      <c r="G15" s="590"/>
      <c r="H15" s="590"/>
      <c r="I15" s="590"/>
      <c r="J15" s="590"/>
      <c r="K15" s="590"/>
      <c r="L15" s="591"/>
      <c r="M15" s="450"/>
    </row>
    <row r="16" spans="1:13" ht="11.85" customHeight="1">
      <c r="A16" s="492" t="s">
        <v>1842</v>
      </c>
      <c r="B16" s="668" t="s">
        <v>1843</v>
      </c>
      <c r="C16" s="669"/>
      <c r="D16" s="670"/>
      <c r="E16" s="668" t="s">
        <v>1844</v>
      </c>
      <c r="F16" s="669"/>
      <c r="G16" s="669"/>
      <c r="H16" s="669"/>
      <c r="I16" s="669"/>
      <c r="J16" s="669"/>
      <c r="K16" s="669"/>
      <c r="L16" s="670"/>
      <c r="M16" s="450"/>
    </row>
    <row r="17" spans="1:13" ht="11.1" customHeight="1">
      <c r="A17" s="454" t="s">
        <v>1833</v>
      </c>
      <c r="B17" s="589" t="s">
        <v>1845</v>
      </c>
      <c r="C17" s="590"/>
      <c r="D17" s="591"/>
      <c r="E17" s="589" t="s">
        <v>1846</v>
      </c>
      <c r="F17" s="590"/>
      <c r="G17" s="590"/>
      <c r="H17" s="590"/>
      <c r="I17" s="590"/>
      <c r="J17" s="590"/>
      <c r="K17" s="590"/>
      <c r="L17" s="591"/>
      <c r="M17" s="450"/>
    </row>
    <row r="18" spans="1:13" ht="11.85" customHeight="1">
      <c r="A18" s="454" t="s">
        <v>1836</v>
      </c>
      <c r="B18" s="589" t="s">
        <v>1847</v>
      </c>
      <c r="C18" s="590"/>
      <c r="D18" s="591"/>
      <c r="E18" s="589" t="s">
        <v>1848</v>
      </c>
      <c r="F18" s="590"/>
      <c r="G18" s="590"/>
      <c r="H18" s="590"/>
      <c r="I18" s="590"/>
      <c r="J18" s="590"/>
      <c r="K18" s="590"/>
      <c r="L18" s="591"/>
      <c r="M18" s="450"/>
    </row>
    <row r="19" spans="1:13" ht="11.85" customHeight="1">
      <c r="A19" s="454" t="s">
        <v>1839</v>
      </c>
      <c r="B19" s="589" t="s">
        <v>1849</v>
      </c>
      <c r="C19" s="590"/>
      <c r="D19" s="591"/>
      <c r="E19" s="589" t="s">
        <v>1850</v>
      </c>
      <c r="F19" s="590"/>
      <c r="G19" s="590"/>
      <c r="H19" s="590"/>
      <c r="I19" s="590"/>
      <c r="J19" s="590"/>
      <c r="K19" s="590"/>
      <c r="L19" s="591"/>
      <c r="M19" s="450"/>
    </row>
    <row r="20" spans="1:13" ht="11.85" customHeight="1">
      <c r="A20" s="492" t="s">
        <v>1407</v>
      </c>
      <c r="B20" s="668" t="s">
        <v>1851</v>
      </c>
      <c r="C20" s="669"/>
      <c r="D20" s="670"/>
      <c r="E20" s="668" t="s">
        <v>1852</v>
      </c>
      <c r="F20" s="669"/>
      <c r="G20" s="669"/>
      <c r="H20" s="669"/>
      <c r="I20" s="669"/>
      <c r="J20" s="669"/>
      <c r="K20" s="669"/>
      <c r="L20" s="670"/>
      <c r="M20" s="450"/>
    </row>
    <row r="21" spans="1:13" ht="11.1" customHeight="1">
      <c r="A21" s="454" t="s">
        <v>1853</v>
      </c>
      <c r="B21" s="589" t="s">
        <v>1219</v>
      </c>
      <c r="C21" s="590"/>
      <c r="D21" s="591"/>
      <c r="E21" s="589" t="s">
        <v>1219</v>
      </c>
      <c r="F21" s="590"/>
      <c r="G21" s="590"/>
      <c r="H21" s="590"/>
      <c r="I21" s="590"/>
      <c r="J21" s="590"/>
      <c r="K21" s="590"/>
      <c r="L21" s="591"/>
      <c r="M21" s="450"/>
    </row>
    <row r="22" spans="1:13" ht="11.85" customHeight="1">
      <c r="A22" s="454" t="s">
        <v>1854</v>
      </c>
      <c r="B22" s="589" t="s">
        <v>1851</v>
      </c>
      <c r="C22" s="590"/>
      <c r="D22" s="591"/>
      <c r="E22" s="589" t="s">
        <v>1852</v>
      </c>
      <c r="F22" s="590"/>
      <c r="G22" s="590"/>
      <c r="H22" s="590"/>
      <c r="I22" s="590"/>
      <c r="J22" s="590"/>
      <c r="K22" s="590"/>
      <c r="L22" s="591"/>
      <c r="M22" s="450"/>
    </row>
    <row r="23" spans="1:13" ht="11.85" customHeight="1">
      <c r="A23" s="454" t="s">
        <v>1855</v>
      </c>
      <c r="B23" s="589" t="s">
        <v>1219</v>
      </c>
      <c r="C23" s="590"/>
      <c r="D23" s="591"/>
      <c r="E23" s="589" t="s">
        <v>1219</v>
      </c>
      <c r="F23" s="590"/>
      <c r="G23" s="590"/>
      <c r="H23" s="590"/>
      <c r="I23" s="590"/>
      <c r="J23" s="590"/>
      <c r="K23" s="590"/>
      <c r="L23" s="591"/>
      <c r="M23" s="450"/>
    </row>
    <row r="24" spans="1:13" ht="11.85" customHeight="1">
      <c r="A24" s="492" t="s">
        <v>1435</v>
      </c>
      <c r="B24" s="668" t="s">
        <v>1219</v>
      </c>
      <c r="C24" s="669"/>
      <c r="D24" s="670"/>
      <c r="E24" s="668" t="s">
        <v>1219</v>
      </c>
      <c r="F24" s="669"/>
      <c r="G24" s="669"/>
      <c r="H24" s="669"/>
      <c r="I24" s="669"/>
      <c r="J24" s="669"/>
      <c r="K24" s="669"/>
      <c r="L24" s="670"/>
      <c r="M24" s="450"/>
    </row>
    <row r="25" spans="1:13" ht="11.1" customHeight="1">
      <c r="A25" s="492" t="s">
        <v>1486</v>
      </c>
      <c r="B25" s="668" t="s">
        <v>1856</v>
      </c>
      <c r="C25" s="669"/>
      <c r="D25" s="670"/>
      <c r="E25" s="668" t="s">
        <v>1857</v>
      </c>
      <c r="F25" s="669"/>
      <c r="G25" s="669"/>
      <c r="H25" s="669"/>
      <c r="I25" s="669"/>
      <c r="J25" s="669"/>
      <c r="K25" s="669"/>
      <c r="L25" s="670"/>
      <c r="M25" s="450"/>
    </row>
    <row r="26" spans="1:13" ht="11.85" customHeight="1">
      <c r="A26" s="454" t="s">
        <v>1858</v>
      </c>
      <c r="B26" s="589" t="s">
        <v>1859</v>
      </c>
      <c r="C26" s="590"/>
      <c r="D26" s="591"/>
      <c r="E26" s="589" t="s">
        <v>1860</v>
      </c>
      <c r="F26" s="590"/>
      <c r="G26" s="590"/>
      <c r="H26" s="590"/>
      <c r="I26" s="590"/>
      <c r="J26" s="590"/>
      <c r="K26" s="590"/>
      <c r="L26" s="591"/>
      <c r="M26" s="450"/>
    </row>
    <row r="27" spans="1:13" ht="11.85" customHeight="1">
      <c r="A27" s="454" t="s">
        <v>1861</v>
      </c>
      <c r="B27" s="589" t="s">
        <v>1694</v>
      </c>
      <c r="C27" s="590"/>
      <c r="D27" s="591"/>
      <c r="E27" s="589" t="s">
        <v>1697</v>
      </c>
      <c r="F27" s="590"/>
      <c r="G27" s="590"/>
      <c r="H27" s="590"/>
      <c r="I27" s="590"/>
      <c r="J27" s="590"/>
      <c r="K27" s="590"/>
      <c r="L27" s="591"/>
      <c r="M27" s="450"/>
    </row>
    <row r="28" spans="1:13" ht="11.85" customHeight="1">
      <c r="A28" s="454" t="s">
        <v>1507</v>
      </c>
      <c r="B28" s="589" t="s">
        <v>1862</v>
      </c>
      <c r="C28" s="590"/>
      <c r="D28" s="591"/>
      <c r="E28" s="589" t="s">
        <v>1219</v>
      </c>
      <c r="F28" s="590"/>
      <c r="G28" s="590"/>
      <c r="H28" s="590"/>
      <c r="I28" s="590"/>
      <c r="J28" s="590"/>
      <c r="K28" s="590"/>
      <c r="L28" s="591"/>
      <c r="M28" s="450"/>
    </row>
    <row r="29" spans="1:13" ht="11.1" customHeight="1">
      <c r="A29" s="454" t="s">
        <v>1863</v>
      </c>
      <c r="B29" s="668" t="s">
        <v>1219</v>
      </c>
      <c r="C29" s="669"/>
      <c r="D29" s="670"/>
      <c r="E29" s="668" t="s">
        <v>1219</v>
      </c>
      <c r="F29" s="669"/>
      <c r="G29" s="669"/>
      <c r="H29" s="669"/>
      <c r="I29" s="669"/>
      <c r="J29" s="669"/>
      <c r="K29" s="669"/>
      <c r="L29" s="670"/>
      <c r="M29" s="450"/>
    </row>
    <row r="30" spans="1:13" ht="11.85" customHeight="1">
      <c r="A30" s="454" t="s">
        <v>1864</v>
      </c>
      <c r="B30" s="589" t="s">
        <v>1219</v>
      </c>
      <c r="C30" s="590"/>
      <c r="D30" s="591"/>
      <c r="E30" s="589" t="s">
        <v>1219</v>
      </c>
      <c r="F30" s="590"/>
      <c r="G30" s="590"/>
      <c r="H30" s="590"/>
      <c r="I30" s="590"/>
      <c r="J30" s="590"/>
      <c r="K30" s="590"/>
      <c r="L30" s="591"/>
      <c r="M30" s="450"/>
    </row>
    <row r="31" spans="1:13" ht="11.85" customHeight="1">
      <c r="A31" s="454" t="s">
        <v>1521</v>
      </c>
      <c r="B31" s="589" t="s">
        <v>1219</v>
      </c>
      <c r="C31" s="590"/>
      <c r="D31" s="591"/>
      <c r="E31" s="589" t="s">
        <v>1219</v>
      </c>
      <c r="F31" s="590"/>
      <c r="G31" s="590"/>
      <c r="H31" s="590"/>
      <c r="I31" s="590"/>
      <c r="J31" s="590"/>
      <c r="K31" s="590"/>
      <c r="L31" s="591"/>
      <c r="M31" s="450"/>
    </row>
    <row r="32" spans="1:13" ht="11.85" customHeight="1">
      <c r="A32" s="456" t="s">
        <v>1540</v>
      </c>
      <c r="B32" s="594" t="s">
        <v>1219</v>
      </c>
      <c r="C32" s="595"/>
      <c r="D32" s="596"/>
      <c r="E32" s="594" t="s">
        <v>1219</v>
      </c>
      <c r="F32" s="595"/>
      <c r="G32" s="595"/>
      <c r="H32" s="595"/>
      <c r="I32" s="595"/>
      <c r="J32" s="595"/>
      <c r="K32" s="595"/>
      <c r="L32" s="596"/>
      <c r="M32" s="450"/>
    </row>
    <row r="33" spans="1:13" ht="11.1" customHeight="1">
      <c r="A33" s="493" t="s">
        <v>1865</v>
      </c>
      <c r="B33" s="665" t="s">
        <v>1866</v>
      </c>
      <c r="C33" s="666"/>
      <c r="D33" s="667"/>
      <c r="E33" s="665" t="s">
        <v>1867</v>
      </c>
      <c r="F33" s="666"/>
      <c r="G33" s="666"/>
      <c r="H33" s="666"/>
      <c r="I33" s="666"/>
      <c r="J33" s="666"/>
      <c r="K33" s="666"/>
      <c r="L33" s="667"/>
      <c r="M33" s="450"/>
    </row>
    <row r="34" spans="1:13" ht="11.85" customHeight="1">
      <c r="A34" s="462"/>
      <c r="B34" s="462"/>
      <c r="C34" s="462"/>
      <c r="D34" s="462"/>
      <c r="E34" s="462"/>
      <c r="F34" s="462"/>
      <c r="G34" s="462"/>
      <c r="H34" s="462"/>
      <c r="I34" s="462"/>
      <c r="J34" s="462"/>
      <c r="K34" s="462"/>
      <c r="L34" s="462"/>
    </row>
    <row r="35" spans="1:13" ht="34.700000000000003" customHeight="1">
      <c r="A35" s="491" t="s">
        <v>1868</v>
      </c>
      <c r="B35" s="597" t="s">
        <v>1869</v>
      </c>
      <c r="C35" s="603"/>
      <c r="D35" s="597" t="s">
        <v>1870</v>
      </c>
      <c r="E35" s="603"/>
      <c r="F35" s="451" t="s">
        <v>1871</v>
      </c>
      <c r="G35" s="597" t="s">
        <v>1872</v>
      </c>
      <c r="H35" s="602"/>
      <c r="I35" s="603"/>
      <c r="J35" s="597" t="s">
        <v>1873</v>
      </c>
      <c r="K35" s="602"/>
      <c r="L35" s="603"/>
      <c r="M35" s="450"/>
    </row>
    <row r="36" spans="1:13" ht="11.85" customHeight="1">
      <c r="A36" s="494" t="s">
        <v>1874</v>
      </c>
      <c r="B36" s="604" t="s">
        <v>1875</v>
      </c>
      <c r="C36" s="605"/>
      <c r="D36" s="604" t="s">
        <v>1876</v>
      </c>
      <c r="E36" s="605"/>
      <c r="F36" s="463" t="s">
        <v>1876</v>
      </c>
      <c r="G36" s="604" t="s">
        <v>1877</v>
      </c>
      <c r="H36" s="628"/>
      <c r="I36" s="605"/>
      <c r="J36" s="604" t="s">
        <v>1219</v>
      </c>
      <c r="K36" s="628"/>
      <c r="L36" s="605"/>
      <c r="M36" s="464"/>
    </row>
    <row r="37" spans="1:13" ht="11.85" customHeight="1">
      <c r="A37" s="454" t="s">
        <v>1878</v>
      </c>
      <c r="B37" s="587" t="s">
        <v>1879</v>
      </c>
      <c r="C37" s="588"/>
      <c r="D37" s="587" t="s">
        <v>1880</v>
      </c>
      <c r="E37" s="588"/>
      <c r="F37" s="465" t="s">
        <v>1880</v>
      </c>
      <c r="G37" s="587" t="s">
        <v>1881</v>
      </c>
      <c r="H37" s="626"/>
      <c r="I37" s="588"/>
      <c r="J37" s="587" t="s">
        <v>1219</v>
      </c>
      <c r="K37" s="626"/>
      <c r="L37" s="588"/>
      <c r="M37" s="464"/>
    </row>
    <row r="38" spans="1:13" ht="11.85" customHeight="1">
      <c r="A38" s="454" t="s">
        <v>1882</v>
      </c>
      <c r="B38" s="587" t="s">
        <v>1883</v>
      </c>
      <c r="C38" s="588"/>
      <c r="D38" s="587" t="s">
        <v>1884</v>
      </c>
      <c r="E38" s="588"/>
      <c r="F38" s="465" t="s">
        <v>1884</v>
      </c>
      <c r="G38" s="587" t="s">
        <v>1885</v>
      </c>
      <c r="H38" s="626"/>
      <c r="I38" s="588"/>
      <c r="J38" s="587" t="s">
        <v>1219</v>
      </c>
      <c r="K38" s="626"/>
      <c r="L38" s="588"/>
      <c r="M38" s="464"/>
    </row>
    <row r="39" spans="1:13" ht="11.1" customHeight="1">
      <c r="A39" s="492" t="s">
        <v>1886</v>
      </c>
      <c r="B39" s="587" t="s">
        <v>1219</v>
      </c>
      <c r="C39" s="588"/>
      <c r="D39" s="587" t="s">
        <v>1219</v>
      </c>
      <c r="E39" s="588"/>
      <c r="F39" s="465" t="s">
        <v>1219</v>
      </c>
      <c r="G39" s="587" t="s">
        <v>1219</v>
      </c>
      <c r="H39" s="626"/>
      <c r="I39" s="588"/>
      <c r="J39" s="587" t="s">
        <v>1219</v>
      </c>
      <c r="K39" s="626"/>
      <c r="L39" s="588"/>
      <c r="M39" s="464"/>
    </row>
    <row r="40" spans="1:13" ht="11.85" customHeight="1">
      <c r="A40" s="454" t="s">
        <v>1858</v>
      </c>
      <c r="B40" s="587" t="s">
        <v>1219</v>
      </c>
      <c r="C40" s="588"/>
      <c r="D40" s="587" t="s">
        <v>1219</v>
      </c>
      <c r="E40" s="588"/>
      <c r="F40" s="465" t="s">
        <v>1219</v>
      </c>
      <c r="G40" s="587" t="s">
        <v>1219</v>
      </c>
      <c r="H40" s="626"/>
      <c r="I40" s="588"/>
      <c r="J40" s="587" t="s">
        <v>1219</v>
      </c>
      <c r="K40" s="626"/>
      <c r="L40" s="588"/>
      <c r="M40" s="464"/>
    </row>
    <row r="41" spans="1:13" ht="11.85" customHeight="1">
      <c r="A41" s="456" t="s">
        <v>1887</v>
      </c>
      <c r="B41" s="592" t="s">
        <v>1219</v>
      </c>
      <c r="C41" s="593"/>
      <c r="D41" s="592" t="s">
        <v>1219</v>
      </c>
      <c r="E41" s="593"/>
      <c r="F41" s="466" t="s">
        <v>1219</v>
      </c>
      <c r="G41" s="592" t="s">
        <v>1219</v>
      </c>
      <c r="H41" s="627"/>
      <c r="I41" s="593"/>
      <c r="J41" s="592" t="s">
        <v>1219</v>
      </c>
      <c r="K41" s="627"/>
      <c r="L41" s="593"/>
      <c r="M41" s="464"/>
    </row>
    <row r="42" spans="1:13" ht="11.85" customHeight="1">
      <c r="A42" s="493" t="s">
        <v>1888</v>
      </c>
      <c r="B42" s="649" t="s">
        <v>1875</v>
      </c>
      <c r="C42" s="650"/>
      <c r="D42" s="649" t="s">
        <v>1876</v>
      </c>
      <c r="E42" s="650"/>
      <c r="F42" s="495" t="s">
        <v>1876</v>
      </c>
      <c r="G42" s="649" t="s">
        <v>1877</v>
      </c>
      <c r="H42" s="651"/>
      <c r="I42" s="650"/>
      <c r="J42" s="649" t="s">
        <v>1219</v>
      </c>
      <c r="K42" s="651"/>
      <c r="L42" s="650"/>
      <c r="M42" s="464"/>
    </row>
    <row r="43" spans="1:13" ht="11.1" customHeight="1">
      <c r="A43" s="493" t="s">
        <v>1889</v>
      </c>
      <c r="B43" s="649" t="s">
        <v>1890</v>
      </c>
      <c r="C43" s="650"/>
      <c r="D43" s="649" t="s">
        <v>1891</v>
      </c>
      <c r="E43" s="650"/>
      <c r="F43" s="495" t="s">
        <v>1891</v>
      </c>
      <c r="G43" s="649" t="s">
        <v>1892</v>
      </c>
      <c r="H43" s="651"/>
      <c r="I43" s="650"/>
      <c r="J43" s="623"/>
      <c r="K43" s="625"/>
      <c r="L43" s="624"/>
      <c r="M43" s="464"/>
    </row>
    <row r="44" spans="1:13" ht="17.850000000000001" customHeight="1">
      <c r="A44" s="469"/>
      <c r="B44" s="469"/>
      <c r="C44" s="469"/>
      <c r="D44" s="469"/>
      <c r="E44" s="469"/>
      <c r="F44" s="469"/>
      <c r="G44" s="469"/>
      <c r="H44" s="469"/>
      <c r="I44" s="469"/>
      <c r="J44" s="469"/>
      <c r="K44" s="469"/>
      <c r="L44" s="469"/>
    </row>
    <row r="45" spans="1:13" ht="11.85" customHeight="1">
      <c r="A45" s="615" t="s">
        <v>1332</v>
      </c>
      <c r="B45" s="615"/>
      <c r="L45" s="448" t="s">
        <v>1893</v>
      </c>
    </row>
    <row r="46" spans="1:13" ht="11.1" customHeight="1">
      <c r="A46" s="615" t="s">
        <v>1818</v>
      </c>
      <c r="B46" s="615"/>
    </row>
    <row r="47" spans="1:13" ht="11.85" customHeight="1">
      <c r="A47" s="619" t="s">
        <v>1819</v>
      </c>
      <c r="B47" s="619"/>
      <c r="C47" s="619"/>
      <c r="D47" s="619"/>
      <c r="E47" s="619"/>
      <c r="F47" s="619"/>
      <c r="G47" s="619"/>
      <c r="H47" s="619"/>
    </row>
    <row r="48" spans="1:13" ht="11.85" customHeight="1">
      <c r="A48" s="615" t="s">
        <v>1820</v>
      </c>
      <c r="B48" s="615"/>
    </row>
    <row r="49" spans="1:13" ht="11.85" customHeight="1">
      <c r="A49" s="615" t="s">
        <v>1209</v>
      </c>
      <c r="B49" s="615"/>
    </row>
    <row r="50" spans="1:13" ht="5.85" customHeight="1"/>
    <row r="51" spans="1:13" ht="11.1" customHeight="1">
      <c r="A51" s="616" t="s">
        <v>1821</v>
      </c>
      <c r="B51" s="616"/>
      <c r="C51" s="449"/>
      <c r="D51" s="449"/>
      <c r="E51" s="449"/>
      <c r="F51" s="449"/>
      <c r="G51" s="449"/>
      <c r="H51" s="654" t="s">
        <v>1211</v>
      </c>
      <c r="I51" s="654"/>
      <c r="J51" s="654"/>
      <c r="K51" s="654"/>
      <c r="L51" s="654"/>
    </row>
    <row r="52" spans="1:13" ht="11.85" customHeight="1">
      <c r="A52" s="496" t="s">
        <v>1894</v>
      </c>
      <c r="B52" s="611" t="s">
        <v>1895</v>
      </c>
      <c r="C52" s="612"/>
      <c r="D52" s="612"/>
      <c r="E52" s="612"/>
      <c r="F52" s="612"/>
      <c r="G52" s="612"/>
      <c r="H52" s="612"/>
      <c r="I52" s="612"/>
      <c r="J52" s="612"/>
      <c r="K52" s="612"/>
      <c r="L52" s="613"/>
      <c r="M52" s="614"/>
    </row>
    <row r="53" spans="1:13" ht="11.85" customHeight="1">
      <c r="A53" s="497" t="s">
        <v>1310</v>
      </c>
      <c r="B53" s="662" t="s">
        <v>1219</v>
      </c>
      <c r="C53" s="663"/>
      <c r="D53" s="663"/>
      <c r="E53" s="663"/>
      <c r="F53" s="663"/>
      <c r="G53" s="663"/>
      <c r="H53" s="663"/>
      <c r="I53" s="663"/>
      <c r="J53" s="663"/>
      <c r="K53" s="663"/>
      <c r="L53" s="664"/>
      <c r="M53" s="614"/>
    </row>
    <row r="54" spans="1:13" ht="5.85" customHeight="1">
      <c r="A54" s="615"/>
      <c r="B54" s="661"/>
      <c r="C54" s="661"/>
      <c r="D54" s="661"/>
      <c r="E54" s="661"/>
      <c r="F54" s="661"/>
      <c r="G54" s="661"/>
      <c r="H54" s="661"/>
      <c r="I54" s="661"/>
      <c r="J54" s="661"/>
      <c r="K54" s="661"/>
      <c r="L54" s="661"/>
      <c r="M54" s="615"/>
    </row>
    <row r="55" spans="1:13" ht="11.1" customHeight="1">
      <c r="A55" s="496" t="s">
        <v>1896</v>
      </c>
      <c r="B55" s="611" t="s">
        <v>1895</v>
      </c>
      <c r="C55" s="612"/>
      <c r="D55" s="612"/>
      <c r="E55" s="612"/>
      <c r="F55" s="612"/>
      <c r="G55" s="612"/>
      <c r="H55" s="612"/>
      <c r="I55" s="612"/>
      <c r="J55" s="612"/>
      <c r="K55" s="612"/>
      <c r="L55" s="613"/>
      <c r="M55" s="614"/>
    </row>
    <row r="56" spans="1:13" ht="11.85" customHeight="1">
      <c r="A56" s="497" t="s">
        <v>1310</v>
      </c>
      <c r="B56" s="662" t="s">
        <v>1681</v>
      </c>
      <c r="C56" s="663"/>
      <c r="D56" s="663"/>
      <c r="E56" s="663"/>
      <c r="F56" s="663"/>
      <c r="G56" s="663"/>
      <c r="H56" s="663"/>
      <c r="I56" s="663"/>
      <c r="J56" s="663"/>
      <c r="K56" s="663"/>
      <c r="L56" s="664"/>
      <c r="M56" s="614"/>
    </row>
    <row r="57" spans="1:13" ht="5.85" customHeight="1">
      <c r="A57" s="615"/>
      <c r="B57" s="661"/>
      <c r="C57" s="661"/>
      <c r="D57" s="661"/>
      <c r="E57" s="661"/>
      <c r="F57" s="661"/>
      <c r="G57" s="661"/>
      <c r="H57" s="661"/>
      <c r="I57" s="661"/>
      <c r="J57" s="661"/>
      <c r="K57" s="661"/>
      <c r="L57" s="661"/>
      <c r="M57" s="615"/>
    </row>
    <row r="58" spans="1:13" ht="23.65" customHeight="1">
      <c r="A58" s="491" t="s">
        <v>1897</v>
      </c>
      <c r="B58" s="611" t="s">
        <v>1898</v>
      </c>
      <c r="C58" s="612"/>
      <c r="D58" s="612"/>
      <c r="E58" s="612"/>
      <c r="F58" s="612"/>
      <c r="G58" s="612"/>
      <c r="H58" s="612"/>
      <c r="I58" s="612"/>
      <c r="J58" s="612"/>
      <c r="K58" s="612"/>
      <c r="L58" s="613"/>
      <c r="M58" s="450"/>
    </row>
    <row r="59" spans="1:13" ht="11.1" customHeight="1">
      <c r="A59" s="452" t="s">
        <v>1899</v>
      </c>
      <c r="B59" s="604" t="s">
        <v>1219</v>
      </c>
      <c r="C59" s="628"/>
      <c r="D59" s="628"/>
      <c r="E59" s="628"/>
      <c r="F59" s="628"/>
      <c r="G59" s="628"/>
      <c r="H59" s="628"/>
      <c r="I59" s="628"/>
      <c r="J59" s="628"/>
      <c r="K59" s="628"/>
      <c r="L59" s="605"/>
      <c r="M59" s="450"/>
    </row>
    <row r="60" spans="1:13" ht="11.85" customHeight="1">
      <c r="A60" s="454" t="s">
        <v>1900</v>
      </c>
      <c r="B60" s="587" t="s">
        <v>1219</v>
      </c>
      <c r="C60" s="626"/>
      <c r="D60" s="626"/>
      <c r="E60" s="626"/>
      <c r="F60" s="626"/>
      <c r="G60" s="626"/>
      <c r="H60" s="626"/>
      <c r="I60" s="626"/>
      <c r="J60" s="626"/>
      <c r="K60" s="626"/>
      <c r="L60" s="588"/>
      <c r="M60" s="450"/>
    </row>
    <row r="61" spans="1:13" ht="11.85" customHeight="1">
      <c r="A61" s="454" t="s">
        <v>1901</v>
      </c>
      <c r="B61" s="587" t="s">
        <v>1219</v>
      </c>
      <c r="C61" s="626"/>
      <c r="D61" s="626"/>
      <c r="E61" s="626"/>
      <c r="F61" s="626"/>
      <c r="G61" s="626"/>
      <c r="H61" s="626"/>
      <c r="I61" s="626"/>
      <c r="J61" s="626"/>
      <c r="K61" s="626"/>
      <c r="L61" s="588"/>
      <c r="M61" s="450"/>
    </row>
    <row r="62" spans="1:13" ht="11.85" customHeight="1">
      <c r="A62" s="456" t="s">
        <v>1902</v>
      </c>
      <c r="B62" s="592" t="s">
        <v>1219</v>
      </c>
      <c r="C62" s="627"/>
      <c r="D62" s="627"/>
      <c r="E62" s="627"/>
      <c r="F62" s="627"/>
      <c r="G62" s="627"/>
      <c r="H62" s="627"/>
      <c r="I62" s="627"/>
      <c r="J62" s="627"/>
      <c r="K62" s="627"/>
      <c r="L62" s="593"/>
      <c r="M62" s="450"/>
    </row>
    <row r="63" spans="1:13" ht="5.0999999999999996" customHeight="1">
      <c r="A63" s="615"/>
      <c r="B63" s="661"/>
      <c r="C63" s="661"/>
      <c r="D63" s="661"/>
      <c r="E63" s="661"/>
      <c r="F63" s="661"/>
      <c r="G63" s="661"/>
      <c r="H63" s="661"/>
      <c r="I63" s="661"/>
      <c r="J63" s="661"/>
      <c r="K63" s="661"/>
      <c r="L63" s="661"/>
      <c r="M63" s="615"/>
    </row>
    <row r="64" spans="1:13" ht="11.85" customHeight="1">
      <c r="A64" s="491" t="s">
        <v>1903</v>
      </c>
      <c r="B64" s="611" t="s">
        <v>1904</v>
      </c>
      <c r="C64" s="612"/>
      <c r="D64" s="612"/>
      <c r="E64" s="612"/>
      <c r="F64" s="612"/>
      <c r="G64" s="612"/>
      <c r="H64" s="612"/>
      <c r="I64" s="612"/>
      <c r="J64" s="612"/>
      <c r="K64" s="612"/>
      <c r="L64" s="613"/>
      <c r="M64" s="450"/>
    </row>
    <row r="65" spans="1:13" ht="11.85" customHeight="1">
      <c r="A65" s="452" t="s">
        <v>1905</v>
      </c>
      <c r="B65" s="604" t="s">
        <v>1906</v>
      </c>
      <c r="C65" s="628"/>
      <c r="D65" s="628"/>
      <c r="E65" s="628"/>
      <c r="F65" s="628"/>
      <c r="G65" s="628"/>
      <c r="H65" s="628"/>
      <c r="I65" s="628"/>
      <c r="J65" s="628"/>
      <c r="K65" s="628"/>
      <c r="L65" s="605"/>
      <c r="M65" s="450"/>
    </row>
    <row r="66" spans="1:13" ht="11.85" customHeight="1">
      <c r="A66" s="454" t="s">
        <v>1907</v>
      </c>
      <c r="B66" s="587" t="s">
        <v>1908</v>
      </c>
      <c r="C66" s="626"/>
      <c r="D66" s="626"/>
      <c r="E66" s="626"/>
      <c r="F66" s="626"/>
      <c r="G66" s="626"/>
      <c r="H66" s="626"/>
      <c r="I66" s="626"/>
      <c r="J66" s="626"/>
      <c r="K66" s="626"/>
      <c r="L66" s="588"/>
      <c r="M66" s="450"/>
    </row>
    <row r="67" spans="1:13" ht="11.1" customHeight="1">
      <c r="A67" s="456" t="s">
        <v>1909</v>
      </c>
      <c r="B67" s="592" t="s">
        <v>1219</v>
      </c>
      <c r="C67" s="627"/>
      <c r="D67" s="627"/>
      <c r="E67" s="627"/>
      <c r="F67" s="627"/>
      <c r="G67" s="627"/>
      <c r="H67" s="627"/>
      <c r="I67" s="627"/>
      <c r="J67" s="627"/>
      <c r="K67" s="627"/>
      <c r="L67" s="593"/>
      <c r="M67" s="450"/>
    </row>
    <row r="68" spans="1:13">
      <c r="A68" s="469"/>
      <c r="B68" s="469"/>
      <c r="C68" s="469"/>
      <c r="D68" s="469"/>
      <c r="E68" s="469"/>
      <c r="F68" s="469"/>
      <c r="G68" s="469"/>
      <c r="H68" s="469"/>
      <c r="I68" s="469"/>
      <c r="J68" s="469"/>
      <c r="K68" s="469"/>
      <c r="L68" s="469"/>
    </row>
    <row r="73" spans="1:13" ht="11.85" customHeight="1">
      <c r="A73" s="615" t="s">
        <v>1332</v>
      </c>
      <c r="B73" s="615"/>
      <c r="L73" s="448" t="s">
        <v>1910</v>
      </c>
    </row>
    <row r="74" spans="1:13" ht="11.1" customHeight="1">
      <c r="A74" s="615" t="s">
        <v>1818</v>
      </c>
      <c r="B74" s="615"/>
    </row>
    <row r="75" spans="1:13" ht="11.85" customHeight="1">
      <c r="A75" s="619" t="s">
        <v>1819</v>
      </c>
      <c r="B75" s="619"/>
      <c r="C75" s="619"/>
      <c r="D75" s="619"/>
      <c r="E75" s="619"/>
      <c r="F75" s="619"/>
      <c r="G75" s="619"/>
      <c r="H75" s="619"/>
    </row>
    <row r="76" spans="1:13" ht="11.85" customHeight="1">
      <c r="A76" s="615" t="s">
        <v>1820</v>
      </c>
      <c r="B76" s="615"/>
    </row>
    <row r="77" spans="1:13" ht="11.85" customHeight="1">
      <c r="A77" s="615" t="s">
        <v>1209</v>
      </c>
      <c r="B77" s="615"/>
    </row>
    <row r="78" spans="1:13" ht="5.85" customHeight="1"/>
    <row r="79" spans="1:13" ht="11.1" customHeight="1">
      <c r="A79" s="616" t="s">
        <v>1821</v>
      </c>
      <c r="B79" s="616"/>
      <c r="C79" s="449"/>
      <c r="D79" s="449"/>
      <c r="E79" s="449"/>
      <c r="F79" s="449"/>
      <c r="G79" s="449"/>
      <c r="H79" s="654" t="s">
        <v>1211</v>
      </c>
      <c r="I79" s="654"/>
      <c r="J79" s="654"/>
      <c r="K79" s="654"/>
      <c r="L79" s="654"/>
    </row>
    <row r="80" spans="1:13" ht="11.85" customHeight="1">
      <c r="A80" s="611" t="s">
        <v>1911</v>
      </c>
      <c r="B80" s="612"/>
      <c r="C80" s="612"/>
      <c r="D80" s="612"/>
      <c r="E80" s="612"/>
      <c r="F80" s="612"/>
      <c r="G80" s="612"/>
      <c r="H80" s="612"/>
      <c r="I80" s="612"/>
      <c r="J80" s="612"/>
      <c r="K80" s="612"/>
      <c r="L80" s="613"/>
      <c r="M80" s="450"/>
    </row>
    <row r="81" spans="1:13" ht="28.9" customHeight="1">
      <c r="A81" s="491" t="s">
        <v>1912</v>
      </c>
      <c r="B81" s="597" t="s">
        <v>1825</v>
      </c>
      <c r="C81" s="603"/>
      <c r="D81" s="597" t="s">
        <v>1826</v>
      </c>
      <c r="E81" s="602"/>
      <c r="F81" s="602"/>
      <c r="G81" s="602"/>
      <c r="H81" s="602"/>
      <c r="I81" s="602"/>
      <c r="J81" s="602"/>
      <c r="K81" s="602"/>
      <c r="L81" s="603"/>
      <c r="M81" s="450"/>
    </row>
    <row r="82" spans="1:13" ht="11.85" customHeight="1">
      <c r="A82" s="452" t="s">
        <v>1913</v>
      </c>
      <c r="B82" s="658" t="s">
        <v>1219</v>
      </c>
      <c r="C82" s="659"/>
      <c r="D82" s="658" t="s">
        <v>1219</v>
      </c>
      <c r="E82" s="660"/>
      <c r="F82" s="660"/>
      <c r="G82" s="660"/>
      <c r="H82" s="660"/>
      <c r="I82" s="660"/>
      <c r="J82" s="660"/>
      <c r="K82" s="660"/>
      <c r="L82" s="659"/>
      <c r="M82" s="450"/>
    </row>
    <row r="83" spans="1:13" ht="11.85" customHeight="1">
      <c r="A83" s="492" t="s">
        <v>1830</v>
      </c>
      <c r="B83" s="655" t="s">
        <v>1219</v>
      </c>
      <c r="C83" s="656"/>
      <c r="D83" s="655" t="s">
        <v>1219</v>
      </c>
      <c r="E83" s="657"/>
      <c r="F83" s="657"/>
      <c r="G83" s="657"/>
      <c r="H83" s="657"/>
      <c r="I83" s="657"/>
      <c r="J83" s="657"/>
      <c r="K83" s="657"/>
      <c r="L83" s="656"/>
      <c r="M83" s="450"/>
    </row>
    <row r="84" spans="1:13" ht="11.85" customHeight="1">
      <c r="A84" s="454" t="s">
        <v>1833</v>
      </c>
      <c r="B84" s="587" t="s">
        <v>1219</v>
      </c>
      <c r="C84" s="588"/>
      <c r="D84" s="587" t="s">
        <v>1219</v>
      </c>
      <c r="E84" s="626"/>
      <c r="F84" s="626"/>
      <c r="G84" s="626"/>
      <c r="H84" s="626"/>
      <c r="I84" s="626"/>
      <c r="J84" s="626"/>
      <c r="K84" s="626"/>
      <c r="L84" s="588"/>
      <c r="M84" s="450"/>
    </row>
    <row r="85" spans="1:13" ht="11.1" customHeight="1">
      <c r="A85" s="454" t="s">
        <v>1836</v>
      </c>
      <c r="B85" s="587" t="s">
        <v>1219</v>
      </c>
      <c r="C85" s="588"/>
      <c r="D85" s="587" t="s">
        <v>1219</v>
      </c>
      <c r="E85" s="626"/>
      <c r="F85" s="626"/>
      <c r="G85" s="626"/>
      <c r="H85" s="626"/>
      <c r="I85" s="626"/>
      <c r="J85" s="626"/>
      <c r="K85" s="626"/>
      <c r="L85" s="588"/>
      <c r="M85" s="450"/>
    </row>
    <row r="86" spans="1:13" ht="11.85" customHeight="1">
      <c r="A86" s="454" t="s">
        <v>1839</v>
      </c>
      <c r="B86" s="587" t="s">
        <v>1219</v>
      </c>
      <c r="C86" s="588"/>
      <c r="D86" s="587" t="s">
        <v>1219</v>
      </c>
      <c r="E86" s="626"/>
      <c r="F86" s="626"/>
      <c r="G86" s="626"/>
      <c r="H86" s="626"/>
      <c r="I86" s="626"/>
      <c r="J86" s="626"/>
      <c r="K86" s="626"/>
      <c r="L86" s="588"/>
      <c r="M86" s="450"/>
    </row>
    <row r="87" spans="1:13" ht="11.85" customHeight="1">
      <c r="A87" s="492" t="s">
        <v>1842</v>
      </c>
      <c r="B87" s="655" t="s">
        <v>1219</v>
      </c>
      <c r="C87" s="656"/>
      <c r="D87" s="655" t="s">
        <v>1219</v>
      </c>
      <c r="E87" s="657"/>
      <c r="F87" s="657"/>
      <c r="G87" s="657"/>
      <c r="H87" s="657"/>
      <c r="I87" s="657"/>
      <c r="J87" s="657"/>
      <c r="K87" s="657"/>
      <c r="L87" s="656"/>
      <c r="M87" s="450"/>
    </row>
    <row r="88" spans="1:13" ht="11.85" customHeight="1">
      <c r="A88" s="454" t="s">
        <v>1833</v>
      </c>
      <c r="B88" s="587" t="s">
        <v>1219</v>
      </c>
      <c r="C88" s="588"/>
      <c r="D88" s="587" t="s">
        <v>1219</v>
      </c>
      <c r="E88" s="626"/>
      <c r="F88" s="626"/>
      <c r="G88" s="626"/>
      <c r="H88" s="626"/>
      <c r="I88" s="626"/>
      <c r="J88" s="626"/>
      <c r="K88" s="626"/>
      <c r="L88" s="588"/>
      <c r="M88" s="450"/>
    </row>
    <row r="89" spans="1:13" ht="11.1" customHeight="1">
      <c r="A89" s="454" t="s">
        <v>1836</v>
      </c>
      <c r="B89" s="587" t="s">
        <v>1219</v>
      </c>
      <c r="C89" s="588"/>
      <c r="D89" s="587" t="s">
        <v>1219</v>
      </c>
      <c r="E89" s="626"/>
      <c r="F89" s="626"/>
      <c r="G89" s="626"/>
      <c r="H89" s="626"/>
      <c r="I89" s="626"/>
      <c r="J89" s="626"/>
      <c r="K89" s="626"/>
      <c r="L89" s="588"/>
      <c r="M89" s="450"/>
    </row>
    <row r="90" spans="1:13" ht="11.85" customHeight="1">
      <c r="A90" s="454" t="s">
        <v>1839</v>
      </c>
      <c r="B90" s="587" t="s">
        <v>1219</v>
      </c>
      <c r="C90" s="588"/>
      <c r="D90" s="587" t="s">
        <v>1219</v>
      </c>
      <c r="E90" s="626"/>
      <c r="F90" s="626"/>
      <c r="G90" s="626"/>
      <c r="H90" s="626"/>
      <c r="I90" s="626"/>
      <c r="J90" s="626"/>
      <c r="K90" s="626"/>
      <c r="L90" s="588"/>
      <c r="M90" s="450"/>
    </row>
    <row r="91" spans="1:13" ht="11.85" customHeight="1">
      <c r="A91" s="492" t="s">
        <v>1407</v>
      </c>
      <c r="B91" s="655" t="s">
        <v>1219</v>
      </c>
      <c r="C91" s="656"/>
      <c r="D91" s="655" t="s">
        <v>1219</v>
      </c>
      <c r="E91" s="657"/>
      <c r="F91" s="657"/>
      <c r="G91" s="657"/>
      <c r="H91" s="657"/>
      <c r="I91" s="657"/>
      <c r="J91" s="657"/>
      <c r="K91" s="657"/>
      <c r="L91" s="656"/>
      <c r="M91" s="450"/>
    </row>
    <row r="92" spans="1:13" ht="11.85" customHeight="1">
      <c r="A92" s="454" t="s">
        <v>1853</v>
      </c>
      <c r="B92" s="587" t="s">
        <v>1219</v>
      </c>
      <c r="C92" s="588"/>
      <c r="D92" s="587" t="s">
        <v>1219</v>
      </c>
      <c r="E92" s="626"/>
      <c r="F92" s="626"/>
      <c r="G92" s="626"/>
      <c r="H92" s="626"/>
      <c r="I92" s="626"/>
      <c r="J92" s="626"/>
      <c r="K92" s="626"/>
      <c r="L92" s="588"/>
      <c r="M92" s="450"/>
    </row>
    <row r="93" spans="1:13" ht="11.1" customHeight="1">
      <c r="A93" s="454" t="s">
        <v>1854</v>
      </c>
      <c r="B93" s="587" t="s">
        <v>1219</v>
      </c>
      <c r="C93" s="588"/>
      <c r="D93" s="587" t="s">
        <v>1219</v>
      </c>
      <c r="E93" s="626"/>
      <c r="F93" s="626"/>
      <c r="G93" s="626"/>
      <c r="H93" s="626"/>
      <c r="I93" s="626"/>
      <c r="J93" s="626"/>
      <c r="K93" s="626"/>
      <c r="L93" s="588"/>
      <c r="M93" s="450"/>
    </row>
    <row r="94" spans="1:13" ht="11.85" customHeight="1">
      <c r="A94" s="454" t="s">
        <v>1855</v>
      </c>
      <c r="B94" s="587" t="s">
        <v>1219</v>
      </c>
      <c r="C94" s="588"/>
      <c r="D94" s="587" t="s">
        <v>1219</v>
      </c>
      <c r="E94" s="626"/>
      <c r="F94" s="626"/>
      <c r="G94" s="626"/>
      <c r="H94" s="626"/>
      <c r="I94" s="626"/>
      <c r="J94" s="626"/>
      <c r="K94" s="626"/>
      <c r="L94" s="588"/>
      <c r="M94" s="450"/>
    </row>
    <row r="95" spans="1:13" ht="11.85" customHeight="1">
      <c r="A95" s="492" t="s">
        <v>1435</v>
      </c>
      <c r="B95" s="655" t="s">
        <v>1219</v>
      </c>
      <c r="C95" s="656"/>
      <c r="D95" s="655" t="s">
        <v>1219</v>
      </c>
      <c r="E95" s="657"/>
      <c r="F95" s="657"/>
      <c r="G95" s="657"/>
      <c r="H95" s="657"/>
      <c r="I95" s="657"/>
      <c r="J95" s="657"/>
      <c r="K95" s="657"/>
      <c r="L95" s="656"/>
      <c r="M95" s="450"/>
    </row>
    <row r="96" spans="1:13" ht="11.85" customHeight="1">
      <c r="A96" s="492" t="s">
        <v>1486</v>
      </c>
      <c r="B96" s="655" t="s">
        <v>1219</v>
      </c>
      <c r="C96" s="656"/>
      <c r="D96" s="655" t="s">
        <v>1219</v>
      </c>
      <c r="E96" s="657"/>
      <c r="F96" s="657"/>
      <c r="G96" s="657"/>
      <c r="H96" s="657"/>
      <c r="I96" s="657"/>
      <c r="J96" s="657"/>
      <c r="K96" s="657"/>
      <c r="L96" s="656"/>
      <c r="M96" s="450"/>
    </row>
    <row r="97" spans="1:13" ht="11.1" customHeight="1">
      <c r="A97" s="454" t="s">
        <v>1914</v>
      </c>
      <c r="B97" s="587" t="s">
        <v>1219</v>
      </c>
      <c r="C97" s="588"/>
      <c r="D97" s="587" t="s">
        <v>1219</v>
      </c>
      <c r="E97" s="626"/>
      <c r="F97" s="626"/>
      <c r="G97" s="626"/>
      <c r="H97" s="626"/>
      <c r="I97" s="626"/>
      <c r="J97" s="626"/>
      <c r="K97" s="626"/>
      <c r="L97" s="588"/>
      <c r="M97" s="450"/>
    </row>
    <row r="98" spans="1:13" ht="11.85" customHeight="1">
      <c r="A98" s="454" t="s">
        <v>1507</v>
      </c>
      <c r="B98" s="587" t="s">
        <v>1219</v>
      </c>
      <c r="C98" s="588"/>
      <c r="D98" s="587" t="s">
        <v>1219</v>
      </c>
      <c r="E98" s="626"/>
      <c r="F98" s="626"/>
      <c r="G98" s="626"/>
      <c r="H98" s="626"/>
      <c r="I98" s="626"/>
      <c r="J98" s="626"/>
      <c r="K98" s="626"/>
      <c r="L98" s="588"/>
      <c r="M98" s="450"/>
    </row>
    <row r="99" spans="1:13" ht="11.85" customHeight="1">
      <c r="A99" s="454" t="s">
        <v>1915</v>
      </c>
      <c r="B99" s="655" t="s">
        <v>1219</v>
      </c>
      <c r="C99" s="656"/>
      <c r="D99" s="655" t="s">
        <v>1219</v>
      </c>
      <c r="E99" s="657"/>
      <c r="F99" s="657"/>
      <c r="G99" s="657"/>
      <c r="H99" s="657"/>
      <c r="I99" s="657"/>
      <c r="J99" s="657"/>
      <c r="K99" s="657"/>
      <c r="L99" s="656"/>
      <c r="M99" s="450"/>
    </row>
    <row r="100" spans="1:13" ht="11.85" customHeight="1">
      <c r="A100" s="454" t="s">
        <v>1864</v>
      </c>
      <c r="B100" s="587" t="s">
        <v>1219</v>
      </c>
      <c r="C100" s="588"/>
      <c r="D100" s="587" t="s">
        <v>1219</v>
      </c>
      <c r="E100" s="626"/>
      <c r="F100" s="626"/>
      <c r="G100" s="626"/>
      <c r="H100" s="626"/>
      <c r="I100" s="626"/>
      <c r="J100" s="626"/>
      <c r="K100" s="626"/>
      <c r="L100" s="588"/>
      <c r="M100" s="450"/>
    </row>
    <row r="101" spans="1:13" ht="11.1" customHeight="1">
      <c r="A101" s="454" t="s">
        <v>1521</v>
      </c>
      <c r="B101" s="587" t="s">
        <v>1219</v>
      </c>
      <c r="C101" s="588"/>
      <c r="D101" s="587" t="s">
        <v>1219</v>
      </c>
      <c r="E101" s="626"/>
      <c r="F101" s="626"/>
      <c r="G101" s="626"/>
      <c r="H101" s="626"/>
      <c r="I101" s="626"/>
      <c r="J101" s="626"/>
      <c r="K101" s="626"/>
      <c r="L101" s="588"/>
      <c r="M101" s="450"/>
    </row>
    <row r="102" spans="1:13" ht="11.85" customHeight="1">
      <c r="A102" s="456" t="s">
        <v>1540</v>
      </c>
      <c r="B102" s="592" t="s">
        <v>1219</v>
      </c>
      <c r="C102" s="593"/>
      <c r="D102" s="592" t="s">
        <v>1219</v>
      </c>
      <c r="E102" s="627"/>
      <c r="F102" s="627"/>
      <c r="G102" s="627"/>
      <c r="H102" s="627"/>
      <c r="I102" s="627"/>
      <c r="J102" s="627"/>
      <c r="K102" s="627"/>
      <c r="L102" s="593"/>
      <c r="M102" s="450"/>
    </row>
    <row r="103" spans="1:13" ht="11.85" customHeight="1">
      <c r="A103" s="493" t="s">
        <v>1916</v>
      </c>
      <c r="B103" s="649" t="s">
        <v>1219</v>
      </c>
      <c r="C103" s="650"/>
      <c r="D103" s="649" t="s">
        <v>1219</v>
      </c>
      <c r="E103" s="651"/>
      <c r="F103" s="651"/>
      <c r="G103" s="651"/>
      <c r="H103" s="651"/>
      <c r="I103" s="651"/>
      <c r="J103" s="651"/>
      <c r="K103" s="651"/>
      <c r="L103" s="650"/>
      <c r="M103" s="450"/>
    </row>
    <row r="104" spans="1:13" ht="5.85" customHeight="1">
      <c r="A104" s="462"/>
      <c r="B104" s="462"/>
      <c r="C104" s="462"/>
      <c r="D104" s="462"/>
      <c r="E104" s="462"/>
      <c r="F104" s="462"/>
      <c r="G104" s="462"/>
      <c r="H104" s="462"/>
      <c r="I104" s="462"/>
      <c r="J104" s="462"/>
      <c r="K104" s="462"/>
      <c r="L104" s="462"/>
    </row>
    <row r="105" spans="1:13" ht="34.700000000000003" customHeight="1">
      <c r="A105" s="491" t="s">
        <v>1917</v>
      </c>
      <c r="B105" s="597" t="s">
        <v>1869</v>
      </c>
      <c r="C105" s="603"/>
      <c r="D105" s="597" t="s">
        <v>1870</v>
      </c>
      <c r="E105" s="603"/>
      <c r="F105" s="451" t="s">
        <v>1871</v>
      </c>
      <c r="G105" s="597" t="s">
        <v>1918</v>
      </c>
      <c r="H105" s="602"/>
      <c r="I105" s="603"/>
      <c r="J105" s="597" t="s">
        <v>1873</v>
      </c>
      <c r="K105" s="602"/>
      <c r="L105" s="603"/>
      <c r="M105" s="450"/>
    </row>
    <row r="106" spans="1:13" ht="11.85" customHeight="1">
      <c r="A106" s="494" t="s">
        <v>1874</v>
      </c>
      <c r="B106" s="658" t="s">
        <v>1219</v>
      </c>
      <c r="C106" s="659"/>
      <c r="D106" s="658" t="s">
        <v>1219</v>
      </c>
      <c r="E106" s="659"/>
      <c r="F106" s="498" t="s">
        <v>1219</v>
      </c>
      <c r="G106" s="658" t="s">
        <v>1219</v>
      </c>
      <c r="H106" s="660"/>
      <c r="I106" s="659"/>
      <c r="J106" s="658" t="s">
        <v>1219</v>
      </c>
      <c r="K106" s="660"/>
      <c r="L106" s="659"/>
      <c r="M106" s="464"/>
    </row>
    <row r="107" spans="1:13" ht="11.85" customHeight="1">
      <c r="A107" s="454" t="s">
        <v>1878</v>
      </c>
      <c r="B107" s="587" t="s">
        <v>1219</v>
      </c>
      <c r="C107" s="588"/>
      <c r="D107" s="587" t="s">
        <v>1219</v>
      </c>
      <c r="E107" s="588"/>
      <c r="F107" s="465" t="s">
        <v>1219</v>
      </c>
      <c r="G107" s="587" t="s">
        <v>1219</v>
      </c>
      <c r="H107" s="626"/>
      <c r="I107" s="588"/>
      <c r="J107" s="587" t="s">
        <v>1219</v>
      </c>
      <c r="K107" s="626"/>
      <c r="L107" s="588"/>
      <c r="M107" s="464"/>
    </row>
    <row r="108" spans="1:13" ht="11.1" customHeight="1">
      <c r="A108" s="454" t="s">
        <v>1882</v>
      </c>
      <c r="B108" s="587" t="s">
        <v>1219</v>
      </c>
      <c r="C108" s="588"/>
      <c r="D108" s="587" t="s">
        <v>1219</v>
      </c>
      <c r="E108" s="588"/>
      <c r="F108" s="465" t="s">
        <v>1219</v>
      </c>
      <c r="G108" s="587" t="s">
        <v>1219</v>
      </c>
      <c r="H108" s="626"/>
      <c r="I108" s="588"/>
      <c r="J108" s="587" t="s">
        <v>1219</v>
      </c>
      <c r="K108" s="626"/>
      <c r="L108" s="588"/>
      <c r="M108" s="464"/>
    </row>
    <row r="109" spans="1:13" ht="11.85" customHeight="1">
      <c r="A109" s="492" t="s">
        <v>1886</v>
      </c>
      <c r="B109" s="655" t="s">
        <v>1219</v>
      </c>
      <c r="C109" s="656"/>
      <c r="D109" s="655" t="s">
        <v>1219</v>
      </c>
      <c r="E109" s="656"/>
      <c r="F109" s="499" t="s">
        <v>1219</v>
      </c>
      <c r="G109" s="655" t="s">
        <v>1219</v>
      </c>
      <c r="H109" s="657"/>
      <c r="I109" s="656"/>
      <c r="J109" s="655" t="s">
        <v>1219</v>
      </c>
      <c r="K109" s="657"/>
      <c r="L109" s="656"/>
      <c r="M109" s="464"/>
    </row>
    <row r="110" spans="1:13" ht="11.85" customHeight="1">
      <c r="A110" s="454" t="s">
        <v>1914</v>
      </c>
      <c r="B110" s="587" t="s">
        <v>1219</v>
      </c>
      <c r="C110" s="588"/>
      <c r="D110" s="587" t="s">
        <v>1219</v>
      </c>
      <c r="E110" s="588"/>
      <c r="F110" s="465" t="s">
        <v>1219</v>
      </c>
      <c r="G110" s="587" t="s">
        <v>1219</v>
      </c>
      <c r="H110" s="626"/>
      <c r="I110" s="588"/>
      <c r="J110" s="587" t="s">
        <v>1219</v>
      </c>
      <c r="K110" s="626"/>
      <c r="L110" s="588"/>
      <c r="M110" s="464"/>
    </row>
    <row r="111" spans="1:13" ht="11.85" customHeight="1">
      <c r="A111" s="456" t="s">
        <v>1887</v>
      </c>
      <c r="B111" s="592" t="s">
        <v>1219</v>
      </c>
      <c r="C111" s="593"/>
      <c r="D111" s="592" t="s">
        <v>1219</v>
      </c>
      <c r="E111" s="593"/>
      <c r="F111" s="466" t="s">
        <v>1219</v>
      </c>
      <c r="G111" s="592" t="s">
        <v>1219</v>
      </c>
      <c r="H111" s="627"/>
      <c r="I111" s="593"/>
      <c r="J111" s="592" t="s">
        <v>1219</v>
      </c>
      <c r="K111" s="627"/>
      <c r="L111" s="593"/>
      <c r="M111" s="464"/>
    </row>
    <row r="112" spans="1:13" ht="11.1" customHeight="1">
      <c r="A112" s="493" t="s">
        <v>1919</v>
      </c>
      <c r="B112" s="649" t="s">
        <v>1219</v>
      </c>
      <c r="C112" s="650"/>
      <c r="D112" s="649" t="s">
        <v>1219</v>
      </c>
      <c r="E112" s="650"/>
      <c r="F112" s="495" t="s">
        <v>1219</v>
      </c>
      <c r="G112" s="649" t="s">
        <v>1219</v>
      </c>
      <c r="H112" s="651"/>
      <c r="I112" s="650"/>
      <c r="J112" s="649" t="s">
        <v>1219</v>
      </c>
      <c r="K112" s="651"/>
      <c r="L112" s="650"/>
      <c r="M112" s="464"/>
    </row>
    <row r="113" spans="1:13" ht="11.85" customHeight="1">
      <c r="A113" s="493" t="s">
        <v>1920</v>
      </c>
      <c r="B113" s="649" t="s">
        <v>1219</v>
      </c>
      <c r="C113" s="650"/>
      <c r="D113" s="649" t="s">
        <v>1219</v>
      </c>
      <c r="E113" s="650"/>
      <c r="F113" s="495" t="s">
        <v>1219</v>
      </c>
      <c r="G113" s="649" t="s">
        <v>1219</v>
      </c>
      <c r="H113" s="651"/>
      <c r="I113" s="650"/>
      <c r="J113" s="623"/>
      <c r="K113" s="625"/>
      <c r="L113" s="624"/>
      <c r="M113" s="464"/>
    </row>
    <row r="114" spans="1:13" ht="17.850000000000001" customHeight="1">
      <c r="A114" s="615"/>
      <c r="B114" s="618"/>
      <c r="C114" s="618"/>
      <c r="D114" s="618"/>
      <c r="E114" s="618"/>
      <c r="F114" s="618"/>
      <c r="G114" s="618"/>
      <c r="H114" s="618"/>
      <c r="I114" s="618"/>
      <c r="J114" s="618"/>
      <c r="K114" s="618"/>
      <c r="L114" s="618"/>
      <c r="M114" s="615"/>
    </row>
    <row r="115" spans="1:13" ht="28.9" customHeight="1"/>
    <row r="116" spans="1:13" ht="11.85" customHeight="1">
      <c r="A116" s="615" t="s">
        <v>1332</v>
      </c>
      <c r="B116" s="615"/>
      <c r="L116" s="448" t="s">
        <v>1921</v>
      </c>
    </row>
    <row r="117" spans="1:13" ht="11.1" customHeight="1">
      <c r="A117" s="615" t="s">
        <v>1818</v>
      </c>
      <c r="B117" s="615"/>
    </row>
    <row r="118" spans="1:13" ht="11.85" customHeight="1">
      <c r="A118" s="619" t="s">
        <v>1819</v>
      </c>
      <c r="B118" s="619"/>
      <c r="C118" s="619"/>
      <c r="D118" s="619"/>
      <c r="E118" s="619"/>
      <c r="F118" s="619"/>
      <c r="G118" s="619"/>
      <c r="H118" s="619"/>
    </row>
    <row r="119" spans="1:13" ht="11.85" customHeight="1">
      <c r="A119" s="615" t="s">
        <v>1820</v>
      </c>
      <c r="B119" s="615"/>
    </row>
    <row r="120" spans="1:13" ht="11.85" customHeight="1">
      <c r="A120" s="615" t="s">
        <v>1209</v>
      </c>
      <c r="B120" s="615"/>
    </row>
    <row r="121" spans="1:13" ht="5.85" customHeight="1"/>
    <row r="122" spans="1:13" ht="11.1" customHeight="1">
      <c r="A122" s="616" t="s">
        <v>1821</v>
      </c>
      <c r="B122" s="616"/>
      <c r="C122" s="449"/>
      <c r="D122" s="449"/>
      <c r="E122" s="449"/>
      <c r="F122" s="449"/>
      <c r="G122" s="449"/>
      <c r="H122" s="654" t="s">
        <v>1211</v>
      </c>
      <c r="I122" s="654"/>
      <c r="J122" s="654"/>
      <c r="K122" s="654"/>
      <c r="L122" s="654"/>
    </row>
    <row r="123" spans="1:13" ht="23.65" customHeight="1">
      <c r="A123" s="491" t="s">
        <v>1922</v>
      </c>
      <c r="B123" s="611" t="s">
        <v>1898</v>
      </c>
      <c r="C123" s="612"/>
      <c r="D123" s="612"/>
      <c r="E123" s="612"/>
      <c r="F123" s="612"/>
      <c r="G123" s="612"/>
      <c r="H123" s="612"/>
      <c r="I123" s="612"/>
      <c r="J123" s="612"/>
      <c r="K123" s="612"/>
      <c r="L123" s="613"/>
      <c r="M123" s="450"/>
    </row>
    <row r="124" spans="1:13" ht="11.85" customHeight="1">
      <c r="A124" s="452" t="s">
        <v>1923</v>
      </c>
      <c r="B124" s="604" t="s">
        <v>1219</v>
      </c>
      <c r="C124" s="628"/>
      <c r="D124" s="628"/>
      <c r="E124" s="628"/>
      <c r="F124" s="628"/>
      <c r="G124" s="628"/>
      <c r="H124" s="628"/>
      <c r="I124" s="628"/>
      <c r="J124" s="628"/>
      <c r="K124" s="628"/>
      <c r="L124" s="605"/>
      <c r="M124" s="450"/>
    </row>
    <row r="125" spans="1:13" ht="11.1" customHeight="1">
      <c r="A125" s="456" t="s">
        <v>1924</v>
      </c>
      <c r="B125" s="592" t="s">
        <v>1219</v>
      </c>
      <c r="C125" s="627"/>
      <c r="D125" s="627"/>
      <c r="E125" s="627"/>
      <c r="F125" s="627"/>
      <c r="G125" s="627"/>
      <c r="H125" s="627"/>
      <c r="I125" s="627"/>
      <c r="J125" s="627"/>
      <c r="K125" s="627"/>
      <c r="L125" s="593"/>
      <c r="M125" s="450"/>
    </row>
    <row r="126" spans="1:13" ht="5.85" customHeight="1">
      <c r="A126" s="462"/>
      <c r="B126" s="462"/>
      <c r="C126" s="462"/>
      <c r="D126" s="462"/>
      <c r="E126" s="462"/>
      <c r="F126" s="462"/>
      <c r="G126" s="462"/>
      <c r="H126" s="462"/>
      <c r="I126" s="462"/>
      <c r="J126" s="462"/>
      <c r="K126" s="462"/>
      <c r="L126" s="462"/>
    </row>
    <row r="127" spans="1:13" ht="11.85" customHeight="1">
      <c r="A127" s="611" t="s">
        <v>1925</v>
      </c>
      <c r="B127" s="612"/>
      <c r="C127" s="612"/>
      <c r="D127" s="612"/>
      <c r="E127" s="612"/>
      <c r="F127" s="612"/>
      <c r="G127" s="612"/>
      <c r="H127" s="612"/>
      <c r="I127" s="612"/>
      <c r="J127" s="612"/>
      <c r="K127" s="612"/>
      <c r="L127" s="613"/>
      <c r="M127" s="450"/>
    </row>
    <row r="128" spans="1:13" ht="28.9" customHeight="1">
      <c r="A128" s="491" t="s">
        <v>1926</v>
      </c>
      <c r="B128" s="597" t="s">
        <v>1338</v>
      </c>
      <c r="C128" s="603"/>
      <c r="D128" s="597" t="s">
        <v>1826</v>
      </c>
      <c r="E128" s="602"/>
      <c r="F128" s="602"/>
      <c r="G128" s="602"/>
      <c r="H128" s="602"/>
      <c r="I128" s="602"/>
      <c r="J128" s="602"/>
      <c r="K128" s="602"/>
      <c r="L128" s="603"/>
      <c r="M128" s="450"/>
    </row>
    <row r="129" spans="1:13" ht="11.85" customHeight="1">
      <c r="A129" s="458" t="s">
        <v>3</v>
      </c>
      <c r="B129" s="623" t="s">
        <v>1927</v>
      </c>
      <c r="C129" s="624"/>
      <c r="D129" s="623" t="s">
        <v>1928</v>
      </c>
      <c r="E129" s="625"/>
      <c r="F129" s="625"/>
      <c r="G129" s="625"/>
      <c r="H129" s="625"/>
      <c r="I129" s="625"/>
      <c r="J129" s="625"/>
      <c r="K129" s="625"/>
      <c r="L129" s="624"/>
      <c r="M129" s="450"/>
    </row>
    <row r="130" spans="1:13" ht="11.85" customHeight="1">
      <c r="A130" s="493" t="s">
        <v>1929</v>
      </c>
      <c r="B130" s="649" t="s">
        <v>1927</v>
      </c>
      <c r="C130" s="650"/>
      <c r="D130" s="649" t="s">
        <v>1928</v>
      </c>
      <c r="E130" s="651"/>
      <c r="F130" s="651"/>
      <c r="G130" s="651"/>
      <c r="H130" s="651"/>
      <c r="I130" s="651"/>
      <c r="J130" s="651"/>
      <c r="K130" s="651"/>
      <c r="L130" s="650"/>
      <c r="M130" s="450"/>
    </row>
    <row r="131" spans="1:13" ht="5.85" customHeight="1">
      <c r="A131" s="462"/>
      <c r="B131" s="462"/>
      <c r="C131" s="462"/>
      <c r="D131" s="462"/>
      <c r="E131" s="462"/>
      <c r="F131" s="462"/>
      <c r="G131" s="462"/>
      <c r="H131" s="462"/>
      <c r="I131" s="462"/>
      <c r="J131" s="462"/>
      <c r="K131" s="462"/>
      <c r="L131" s="462"/>
    </row>
    <row r="132" spans="1:13" ht="34.700000000000003" customHeight="1">
      <c r="A132" s="491" t="s">
        <v>1930</v>
      </c>
      <c r="B132" s="597" t="s">
        <v>1931</v>
      </c>
      <c r="C132" s="603"/>
      <c r="D132" s="597" t="s">
        <v>1870</v>
      </c>
      <c r="E132" s="603"/>
      <c r="F132" s="451" t="s">
        <v>1871</v>
      </c>
      <c r="G132" s="597" t="s">
        <v>1872</v>
      </c>
      <c r="H132" s="602"/>
      <c r="I132" s="603"/>
      <c r="J132" s="597" t="s">
        <v>1873</v>
      </c>
      <c r="K132" s="602"/>
      <c r="L132" s="603"/>
      <c r="M132" s="450"/>
    </row>
    <row r="133" spans="1:13" ht="11.85" customHeight="1">
      <c r="A133" s="452" t="s">
        <v>1932</v>
      </c>
      <c r="B133" s="604" t="s">
        <v>1933</v>
      </c>
      <c r="C133" s="605"/>
      <c r="D133" s="604" t="s">
        <v>1934</v>
      </c>
      <c r="E133" s="605"/>
      <c r="F133" s="463" t="s">
        <v>1935</v>
      </c>
      <c r="G133" s="604" t="s">
        <v>1936</v>
      </c>
      <c r="H133" s="628"/>
      <c r="I133" s="605"/>
      <c r="J133" s="604" t="s">
        <v>1219</v>
      </c>
      <c r="K133" s="628"/>
      <c r="L133" s="605"/>
      <c r="M133" s="464"/>
    </row>
    <row r="134" spans="1:13" ht="11.1" customHeight="1">
      <c r="A134" s="454" t="s">
        <v>1937</v>
      </c>
      <c r="B134" s="587">
        <v>10</v>
      </c>
      <c r="C134" s="588"/>
      <c r="D134" s="587" t="s">
        <v>1219</v>
      </c>
      <c r="E134" s="588"/>
      <c r="F134" s="465" t="s">
        <v>1219</v>
      </c>
      <c r="G134" s="587" t="s">
        <v>1219</v>
      </c>
      <c r="H134" s="626"/>
      <c r="I134" s="588"/>
      <c r="J134" s="587" t="s">
        <v>1219</v>
      </c>
      <c r="K134" s="626"/>
      <c r="L134" s="588"/>
      <c r="M134" s="464"/>
    </row>
    <row r="135" spans="1:13" ht="11.85" customHeight="1">
      <c r="A135" s="454" t="s">
        <v>1938</v>
      </c>
      <c r="B135" s="587" t="s">
        <v>1939</v>
      </c>
      <c r="C135" s="588"/>
      <c r="D135" s="587" t="s">
        <v>1934</v>
      </c>
      <c r="E135" s="588"/>
      <c r="F135" s="465" t="s">
        <v>1935</v>
      </c>
      <c r="G135" s="587" t="s">
        <v>1936</v>
      </c>
      <c r="H135" s="626"/>
      <c r="I135" s="588"/>
      <c r="J135" s="587" t="s">
        <v>1219</v>
      </c>
      <c r="K135" s="626"/>
      <c r="L135" s="588"/>
      <c r="M135" s="464"/>
    </row>
    <row r="136" spans="1:13" ht="11.85" customHeight="1">
      <c r="A136" s="456" t="s">
        <v>1940</v>
      </c>
      <c r="B136" s="592" t="s">
        <v>1941</v>
      </c>
      <c r="C136" s="593"/>
      <c r="D136" s="592" t="s">
        <v>1219</v>
      </c>
      <c r="E136" s="593"/>
      <c r="F136" s="466" t="s">
        <v>1219</v>
      </c>
      <c r="G136" s="592" t="s">
        <v>1219</v>
      </c>
      <c r="H136" s="627"/>
      <c r="I136" s="593"/>
      <c r="J136" s="592" t="s">
        <v>1219</v>
      </c>
      <c r="K136" s="627"/>
      <c r="L136" s="593"/>
      <c r="M136" s="464"/>
    </row>
    <row r="137" spans="1:13" ht="11.85" customHeight="1">
      <c r="A137" s="493" t="s">
        <v>1942</v>
      </c>
      <c r="B137" s="649" t="s">
        <v>1943</v>
      </c>
      <c r="C137" s="650"/>
      <c r="D137" s="649" t="s">
        <v>1934</v>
      </c>
      <c r="E137" s="650"/>
      <c r="F137" s="495" t="s">
        <v>1935</v>
      </c>
      <c r="G137" s="649" t="s">
        <v>1936</v>
      </c>
      <c r="H137" s="651"/>
      <c r="I137" s="650"/>
      <c r="J137" s="649" t="s">
        <v>1219</v>
      </c>
      <c r="K137" s="651"/>
      <c r="L137" s="650"/>
      <c r="M137" s="464"/>
    </row>
    <row r="138" spans="1:13" ht="11.1" customHeight="1">
      <c r="A138" s="493" t="s">
        <v>1944</v>
      </c>
      <c r="B138" s="649" t="s">
        <v>1945</v>
      </c>
      <c r="C138" s="650"/>
      <c r="D138" s="649" t="s">
        <v>1946</v>
      </c>
      <c r="E138" s="650"/>
      <c r="F138" s="495" t="s">
        <v>1947</v>
      </c>
      <c r="G138" s="649" t="s">
        <v>1948</v>
      </c>
      <c r="H138" s="651"/>
      <c r="I138" s="650"/>
      <c r="J138" s="623"/>
      <c r="K138" s="625"/>
      <c r="L138" s="624"/>
      <c r="M138" s="464"/>
    </row>
    <row r="139" spans="1:13" ht="74.099999999999994" customHeight="1">
      <c r="A139" s="615"/>
      <c r="B139" s="618"/>
      <c r="C139" s="618"/>
      <c r="D139" s="618"/>
      <c r="E139" s="618"/>
      <c r="F139" s="618"/>
      <c r="G139" s="618"/>
      <c r="H139" s="618"/>
      <c r="I139" s="618"/>
      <c r="J139" s="618"/>
      <c r="K139" s="618"/>
      <c r="L139" s="618"/>
      <c r="M139" s="615"/>
    </row>
    <row r="140" spans="1:13" ht="74.099999999999994" customHeight="1">
      <c r="A140" s="615"/>
      <c r="B140" s="615"/>
      <c r="C140" s="615"/>
      <c r="D140" s="615"/>
      <c r="E140" s="615"/>
      <c r="F140" s="615"/>
      <c r="G140" s="615"/>
      <c r="H140" s="615"/>
      <c r="I140" s="615"/>
      <c r="J140" s="615"/>
      <c r="K140" s="615"/>
      <c r="L140" s="615"/>
      <c r="M140" s="615"/>
    </row>
    <row r="141" spans="1:13" ht="42.95" customHeight="1">
      <c r="A141" s="615"/>
      <c r="B141" s="615"/>
      <c r="C141" s="615"/>
      <c r="D141" s="615"/>
      <c r="E141" s="615"/>
      <c r="F141" s="615"/>
      <c r="G141" s="615"/>
      <c r="H141" s="615"/>
      <c r="I141" s="615"/>
      <c r="J141" s="615"/>
      <c r="K141" s="615"/>
      <c r="L141" s="615"/>
      <c r="M141" s="615"/>
    </row>
    <row r="142" spans="1:13" ht="42.2" customHeight="1">
      <c r="A142" s="615"/>
      <c r="B142" s="615"/>
      <c r="C142" s="615"/>
      <c r="D142" s="615"/>
      <c r="E142" s="615"/>
      <c r="F142" s="615"/>
      <c r="G142" s="615"/>
      <c r="H142" s="615"/>
      <c r="I142" s="615"/>
      <c r="J142" s="615"/>
      <c r="K142" s="615"/>
      <c r="L142" s="615"/>
      <c r="M142" s="615"/>
    </row>
    <row r="143" spans="1:13" ht="17.850000000000001" customHeight="1"/>
    <row r="144" spans="1:13" ht="11.85" customHeight="1">
      <c r="A144" s="615" t="s">
        <v>1332</v>
      </c>
      <c r="B144" s="615"/>
      <c r="L144" s="448" t="s">
        <v>1949</v>
      </c>
    </row>
    <row r="145" spans="1:13" ht="11.1" customHeight="1">
      <c r="A145" s="615" t="s">
        <v>1818</v>
      </c>
      <c r="B145" s="615"/>
    </row>
    <row r="146" spans="1:13" ht="11.85" customHeight="1">
      <c r="A146" s="619" t="s">
        <v>1819</v>
      </c>
      <c r="B146" s="619"/>
      <c r="C146" s="619"/>
      <c r="D146" s="619"/>
      <c r="E146" s="619"/>
      <c r="F146" s="619"/>
      <c r="G146" s="619"/>
      <c r="H146" s="619"/>
    </row>
    <row r="147" spans="1:13" ht="11.85" customHeight="1">
      <c r="A147" s="615" t="s">
        <v>1820</v>
      </c>
      <c r="B147" s="615"/>
    </row>
    <row r="148" spans="1:13" ht="11.85" customHeight="1">
      <c r="A148" s="615" t="s">
        <v>1209</v>
      </c>
      <c r="B148" s="615"/>
    </row>
    <row r="149" spans="1:13" ht="5.85" customHeight="1"/>
    <row r="150" spans="1:13" ht="11.1" customHeight="1">
      <c r="A150" s="616" t="s">
        <v>1821</v>
      </c>
      <c r="B150" s="616"/>
      <c r="C150" s="449"/>
      <c r="D150" s="449"/>
      <c r="E150" s="449"/>
      <c r="F150" s="449"/>
      <c r="G150" s="449"/>
      <c r="H150" s="654" t="s">
        <v>1211</v>
      </c>
      <c r="I150" s="654"/>
      <c r="J150" s="654"/>
      <c r="K150" s="654"/>
      <c r="L150" s="654"/>
    </row>
    <row r="151" spans="1:13" ht="11.85" customHeight="1">
      <c r="A151" s="611" t="s">
        <v>1950</v>
      </c>
      <c r="B151" s="612"/>
      <c r="C151" s="612"/>
      <c r="D151" s="612"/>
      <c r="E151" s="612"/>
      <c r="F151" s="612"/>
      <c r="G151" s="612"/>
      <c r="H151" s="612"/>
      <c r="I151" s="612"/>
      <c r="J151" s="612"/>
      <c r="K151" s="612"/>
      <c r="L151" s="613"/>
      <c r="M151" s="450"/>
    </row>
    <row r="152" spans="1:13" ht="28.9" customHeight="1">
      <c r="A152" s="491" t="s">
        <v>1951</v>
      </c>
      <c r="B152" s="597" t="s">
        <v>1338</v>
      </c>
      <c r="C152" s="603"/>
      <c r="D152" s="597" t="s">
        <v>1826</v>
      </c>
      <c r="E152" s="602"/>
      <c r="F152" s="602"/>
      <c r="G152" s="602"/>
      <c r="H152" s="602"/>
      <c r="I152" s="602"/>
      <c r="J152" s="602"/>
      <c r="K152" s="602"/>
      <c r="L152" s="603"/>
      <c r="M152" s="450"/>
    </row>
    <row r="153" spans="1:13" ht="11.85" customHeight="1">
      <c r="A153" s="452" t="s">
        <v>1952</v>
      </c>
      <c r="B153" s="604" t="s">
        <v>1219</v>
      </c>
      <c r="C153" s="605"/>
      <c r="D153" s="604" t="s">
        <v>1219</v>
      </c>
      <c r="E153" s="628"/>
      <c r="F153" s="628"/>
      <c r="G153" s="628"/>
      <c r="H153" s="628"/>
      <c r="I153" s="628"/>
      <c r="J153" s="628"/>
      <c r="K153" s="628"/>
      <c r="L153" s="605"/>
      <c r="M153" s="450"/>
    </row>
    <row r="154" spans="1:13" ht="11.85" customHeight="1">
      <c r="A154" s="456" t="s">
        <v>1953</v>
      </c>
      <c r="B154" s="592" t="s">
        <v>1219</v>
      </c>
      <c r="C154" s="593"/>
      <c r="D154" s="592" t="s">
        <v>1219</v>
      </c>
      <c r="E154" s="627"/>
      <c r="F154" s="627"/>
      <c r="G154" s="627"/>
      <c r="H154" s="627"/>
      <c r="I154" s="627"/>
      <c r="J154" s="627"/>
      <c r="K154" s="627"/>
      <c r="L154" s="593"/>
      <c r="M154" s="450"/>
    </row>
    <row r="155" spans="1:13" ht="11.85" customHeight="1">
      <c r="A155" s="493" t="s">
        <v>1954</v>
      </c>
      <c r="B155" s="649" t="s">
        <v>1219</v>
      </c>
      <c r="C155" s="650"/>
      <c r="D155" s="649" t="s">
        <v>1219</v>
      </c>
      <c r="E155" s="651"/>
      <c r="F155" s="651"/>
      <c r="G155" s="651"/>
      <c r="H155" s="651"/>
      <c r="I155" s="651"/>
      <c r="J155" s="651"/>
      <c r="K155" s="651"/>
      <c r="L155" s="650"/>
      <c r="M155" s="450"/>
    </row>
    <row r="156" spans="1:13" ht="5.85" customHeight="1">
      <c r="A156" s="462"/>
      <c r="B156" s="462"/>
      <c r="C156" s="462"/>
      <c r="D156" s="462"/>
      <c r="E156" s="462"/>
      <c r="F156" s="462"/>
      <c r="G156" s="462"/>
      <c r="H156" s="462"/>
      <c r="I156" s="462"/>
      <c r="J156" s="462"/>
      <c r="K156" s="462"/>
      <c r="L156" s="462"/>
    </row>
    <row r="157" spans="1:13" ht="34.700000000000003" customHeight="1">
      <c r="A157" s="491" t="s">
        <v>1955</v>
      </c>
      <c r="B157" s="597" t="s">
        <v>1931</v>
      </c>
      <c r="C157" s="603"/>
      <c r="D157" s="597" t="s">
        <v>1870</v>
      </c>
      <c r="E157" s="603"/>
      <c r="F157" s="451" t="s">
        <v>1871</v>
      </c>
      <c r="G157" s="597" t="s">
        <v>1872</v>
      </c>
      <c r="H157" s="602"/>
      <c r="I157" s="603"/>
      <c r="J157" s="597" t="s">
        <v>1873</v>
      </c>
      <c r="K157" s="602"/>
      <c r="L157" s="603"/>
      <c r="M157" s="450"/>
    </row>
    <row r="158" spans="1:13" ht="11.85" customHeight="1">
      <c r="A158" s="452" t="s">
        <v>1878</v>
      </c>
      <c r="B158" s="604" t="s">
        <v>1219</v>
      </c>
      <c r="C158" s="605"/>
      <c r="D158" s="604" t="s">
        <v>1219</v>
      </c>
      <c r="E158" s="605"/>
      <c r="F158" s="463" t="s">
        <v>1219</v>
      </c>
      <c r="G158" s="604" t="s">
        <v>1219</v>
      </c>
      <c r="H158" s="628"/>
      <c r="I158" s="605"/>
      <c r="J158" s="604" t="s">
        <v>1219</v>
      </c>
      <c r="K158" s="628"/>
      <c r="L158" s="605"/>
      <c r="M158" s="450"/>
    </row>
    <row r="159" spans="1:13" ht="11.1" customHeight="1">
      <c r="A159" s="454" t="s">
        <v>1956</v>
      </c>
      <c r="B159" s="587" t="s">
        <v>1219</v>
      </c>
      <c r="C159" s="588"/>
      <c r="D159" s="587" t="s">
        <v>1219</v>
      </c>
      <c r="E159" s="588"/>
      <c r="F159" s="465" t="s">
        <v>1219</v>
      </c>
      <c r="G159" s="587" t="s">
        <v>1219</v>
      </c>
      <c r="H159" s="626"/>
      <c r="I159" s="588"/>
      <c r="J159" s="587" t="s">
        <v>1219</v>
      </c>
      <c r="K159" s="626"/>
      <c r="L159" s="588"/>
      <c r="M159" s="450"/>
    </row>
    <row r="160" spans="1:13" ht="11.85" customHeight="1">
      <c r="A160" s="456" t="s">
        <v>1886</v>
      </c>
      <c r="B160" s="592" t="s">
        <v>1219</v>
      </c>
      <c r="C160" s="593"/>
      <c r="D160" s="592" t="s">
        <v>1219</v>
      </c>
      <c r="E160" s="593"/>
      <c r="F160" s="466" t="s">
        <v>1219</v>
      </c>
      <c r="G160" s="592" t="s">
        <v>1219</v>
      </c>
      <c r="H160" s="627"/>
      <c r="I160" s="593"/>
      <c r="J160" s="592" t="s">
        <v>1219</v>
      </c>
      <c r="K160" s="627"/>
      <c r="L160" s="593"/>
      <c r="M160" s="450"/>
    </row>
    <row r="161" spans="1:13" ht="11.85" customHeight="1">
      <c r="A161" s="493" t="s">
        <v>1957</v>
      </c>
      <c r="B161" s="649" t="s">
        <v>1219</v>
      </c>
      <c r="C161" s="650"/>
      <c r="D161" s="649" t="s">
        <v>1219</v>
      </c>
      <c r="E161" s="650"/>
      <c r="F161" s="495" t="s">
        <v>1219</v>
      </c>
      <c r="G161" s="649" t="s">
        <v>1219</v>
      </c>
      <c r="H161" s="651"/>
      <c r="I161" s="650"/>
      <c r="J161" s="649" t="s">
        <v>1219</v>
      </c>
      <c r="K161" s="651"/>
      <c r="L161" s="650"/>
      <c r="M161" s="450"/>
    </row>
    <row r="162" spans="1:13" ht="11.85" customHeight="1">
      <c r="A162" s="493" t="s">
        <v>1958</v>
      </c>
      <c r="B162" s="649" t="s">
        <v>1219</v>
      </c>
      <c r="C162" s="650"/>
      <c r="D162" s="649" t="s">
        <v>1219</v>
      </c>
      <c r="E162" s="650"/>
      <c r="F162" s="495" t="s">
        <v>1219</v>
      </c>
      <c r="G162" s="649" t="s">
        <v>1219</v>
      </c>
      <c r="H162" s="651"/>
      <c r="I162" s="650"/>
      <c r="J162" s="623"/>
      <c r="K162" s="625"/>
      <c r="L162" s="624"/>
      <c r="M162" s="450"/>
    </row>
    <row r="163" spans="1:13" ht="11.1" customHeight="1">
      <c r="A163" s="652" t="s">
        <v>1959</v>
      </c>
      <c r="B163" s="652"/>
      <c r="C163" s="652"/>
      <c r="D163" s="652"/>
      <c r="E163" s="652"/>
      <c r="F163" s="652"/>
      <c r="G163" s="652"/>
      <c r="H163" s="652"/>
      <c r="I163" s="652"/>
      <c r="J163" s="652"/>
      <c r="K163" s="469"/>
      <c r="L163" s="469"/>
    </row>
    <row r="164" spans="1:13" ht="23.65" customHeight="1">
      <c r="A164" s="653" t="s">
        <v>1960</v>
      </c>
      <c r="B164" s="653"/>
      <c r="C164" s="653"/>
      <c r="D164" s="653"/>
      <c r="E164" s="653"/>
      <c r="F164" s="653"/>
      <c r="G164" s="653"/>
      <c r="H164" s="653"/>
      <c r="I164" s="653"/>
      <c r="J164" s="653"/>
    </row>
    <row r="165" spans="1:13" ht="5.85" customHeight="1"/>
    <row r="166" spans="1:13" ht="11.1" customHeight="1"/>
    <row r="167" spans="1:13" ht="17.850000000000001" customHeight="1"/>
    <row r="168" spans="1:13" ht="11.85" customHeight="1"/>
    <row r="169" spans="1:13" ht="74.099999999999994" customHeight="1"/>
    <row r="170" spans="1:13" ht="74.099999999999994" customHeight="1"/>
    <row r="171" spans="1:13" ht="73.349999999999994" customHeight="1"/>
  </sheetData>
  <mergeCells count="297">
    <mergeCell ref="A8:L8"/>
    <mergeCell ref="A9:L9"/>
    <mergeCell ref="B10:D10"/>
    <mergeCell ref="E10:L10"/>
    <mergeCell ref="B11:D11"/>
    <mergeCell ref="E11:L11"/>
    <mergeCell ref="A1:B1"/>
    <mergeCell ref="A2:B2"/>
    <mergeCell ref="A3:H3"/>
    <mergeCell ref="A4:B4"/>
    <mergeCell ref="A5:B5"/>
    <mergeCell ref="A7:B7"/>
    <mergeCell ref="H7:L7"/>
    <mergeCell ref="B15:D15"/>
    <mergeCell ref="E15:L15"/>
    <mergeCell ref="B16:D16"/>
    <mergeCell ref="E16:L16"/>
    <mergeCell ref="B17:D17"/>
    <mergeCell ref="E17:L17"/>
    <mergeCell ref="B12:D12"/>
    <mergeCell ref="E12:L12"/>
    <mergeCell ref="B13:D13"/>
    <mergeCell ref="E13:L13"/>
    <mergeCell ref="B14:D14"/>
    <mergeCell ref="E14:L14"/>
    <mergeCell ref="B21:D21"/>
    <mergeCell ref="E21:L21"/>
    <mergeCell ref="B22:D22"/>
    <mergeCell ref="E22:L22"/>
    <mergeCell ref="B23:D23"/>
    <mergeCell ref="E23:L23"/>
    <mergeCell ref="B18:D18"/>
    <mergeCell ref="E18:L18"/>
    <mergeCell ref="B19:D19"/>
    <mergeCell ref="E19:L19"/>
    <mergeCell ref="B20:D20"/>
    <mergeCell ref="E20:L20"/>
    <mergeCell ref="B27:D27"/>
    <mergeCell ref="E27:L27"/>
    <mergeCell ref="B28:D28"/>
    <mergeCell ref="E28:L28"/>
    <mergeCell ref="B29:D29"/>
    <mergeCell ref="E29:L29"/>
    <mergeCell ref="B24:D24"/>
    <mergeCell ref="E24:L24"/>
    <mergeCell ref="B25:D25"/>
    <mergeCell ref="E25:L25"/>
    <mergeCell ref="B26:D26"/>
    <mergeCell ref="E26:L26"/>
    <mergeCell ref="B33:D33"/>
    <mergeCell ref="E33:L33"/>
    <mergeCell ref="B35:C35"/>
    <mergeCell ref="D35:E35"/>
    <mergeCell ref="G35:I35"/>
    <mergeCell ref="J35:L35"/>
    <mergeCell ref="B30:D30"/>
    <mergeCell ref="E30:L30"/>
    <mergeCell ref="B31:D31"/>
    <mergeCell ref="E31:L31"/>
    <mergeCell ref="B32:D32"/>
    <mergeCell ref="E32:L32"/>
    <mergeCell ref="B38:C38"/>
    <mergeCell ref="D38:E38"/>
    <mergeCell ref="G38:I38"/>
    <mergeCell ref="J38:L38"/>
    <mergeCell ref="B39:C39"/>
    <mergeCell ref="D39:E39"/>
    <mergeCell ref="G39:I39"/>
    <mergeCell ref="J39:L39"/>
    <mergeCell ref="B36:C36"/>
    <mergeCell ref="D36:E36"/>
    <mergeCell ref="G36:I36"/>
    <mergeCell ref="J36:L36"/>
    <mergeCell ref="B37:C37"/>
    <mergeCell ref="D37:E37"/>
    <mergeCell ref="G37:I37"/>
    <mergeCell ref="J37:L37"/>
    <mergeCell ref="B42:C42"/>
    <mergeCell ref="D42:E42"/>
    <mergeCell ref="G42:I42"/>
    <mergeCell ref="J42:L42"/>
    <mergeCell ref="B43:C43"/>
    <mergeCell ref="D43:E43"/>
    <mergeCell ref="G43:I43"/>
    <mergeCell ref="J43:L43"/>
    <mergeCell ref="B40:C40"/>
    <mergeCell ref="D40:E40"/>
    <mergeCell ref="G40:I40"/>
    <mergeCell ref="J40:L40"/>
    <mergeCell ref="B41:C41"/>
    <mergeCell ref="D41:E41"/>
    <mergeCell ref="G41:I41"/>
    <mergeCell ref="J41:L41"/>
    <mergeCell ref="B52:L52"/>
    <mergeCell ref="M52:M53"/>
    <mergeCell ref="B53:L53"/>
    <mergeCell ref="A54:M54"/>
    <mergeCell ref="B55:L55"/>
    <mergeCell ref="M55:M56"/>
    <mergeCell ref="B56:L56"/>
    <mergeCell ref="A45:B45"/>
    <mergeCell ref="A46:B46"/>
    <mergeCell ref="A47:H47"/>
    <mergeCell ref="A48:B48"/>
    <mergeCell ref="A49:B49"/>
    <mergeCell ref="A51:B51"/>
    <mergeCell ref="H51:L51"/>
    <mergeCell ref="A63:M63"/>
    <mergeCell ref="B64:L64"/>
    <mergeCell ref="B65:L65"/>
    <mergeCell ref="B66:L66"/>
    <mergeCell ref="B67:L67"/>
    <mergeCell ref="A73:B73"/>
    <mergeCell ref="A57:M57"/>
    <mergeCell ref="B58:L58"/>
    <mergeCell ref="B59:L59"/>
    <mergeCell ref="B60:L60"/>
    <mergeCell ref="B61:L61"/>
    <mergeCell ref="B62:L62"/>
    <mergeCell ref="A80:L80"/>
    <mergeCell ref="B81:C81"/>
    <mergeCell ref="D81:L81"/>
    <mergeCell ref="B82:C82"/>
    <mergeCell ref="D82:L82"/>
    <mergeCell ref="B83:C83"/>
    <mergeCell ref="D83:L83"/>
    <mergeCell ref="A74:B74"/>
    <mergeCell ref="A75:H75"/>
    <mergeCell ref="A76:B76"/>
    <mergeCell ref="A77:B77"/>
    <mergeCell ref="A79:B79"/>
    <mergeCell ref="H79:L79"/>
    <mergeCell ref="B87:C87"/>
    <mergeCell ref="D87:L87"/>
    <mergeCell ref="B88:C88"/>
    <mergeCell ref="D88:L88"/>
    <mergeCell ref="B89:C89"/>
    <mergeCell ref="D89:L89"/>
    <mergeCell ref="B84:C84"/>
    <mergeCell ref="D84:L84"/>
    <mergeCell ref="B85:C85"/>
    <mergeCell ref="D85:L85"/>
    <mergeCell ref="B86:C86"/>
    <mergeCell ref="D86:L86"/>
    <mergeCell ref="B93:C93"/>
    <mergeCell ref="D93:L93"/>
    <mergeCell ref="B94:C94"/>
    <mergeCell ref="D94:L94"/>
    <mergeCell ref="B95:C95"/>
    <mergeCell ref="D95:L95"/>
    <mergeCell ref="B90:C90"/>
    <mergeCell ref="D90:L90"/>
    <mergeCell ref="B91:C91"/>
    <mergeCell ref="D91:L91"/>
    <mergeCell ref="B92:C92"/>
    <mergeCell ref="D92:L92"/>
    <mergeCell ref="B99:C99"/>
    <mergeCell ref="D99:L99"/>
    <mergeCell ref="B100:C100"/>
    <mergeCell ref="D100:L100"/>
    <mergeCell ref="B101:C101"/>
    <mergeCell ref="D101:L101"/>
    <mergeCell ref="B96:C96"/>
    <mergeCell ref="D96:L96"/>
    <mergeCell ref="B97:C97"/>
    <mergeCell ref="D97:L97"/>
    <mergeCell ref="B98:C98"/>
    <mergeCell ref="D98:L98"/>
    <mergeCell ref="B106:C106"/>
    <mergeCell ref="D106:E106"/>
    <mergeCell ref="G106:I106"/>
    <mergeCell ref="J106:L106"/>
    <mergeCell ref="B107:C107"/>
    <mergeCell ref="D107:E107"/>
    <mergeCell ref="G107:I107"/>
    <mergeCell ref="J107:L107"/>
    <mergeCell ref="B102:C102"/>
    <mergeCell ref="D102:L102"/>
    <mergeCell ref="B103:C103"/>
    <mergeCell ref="D103:L103"/>
    <mergeCell ref="B105:C105"/>
    <mergeCell ref="D105:E105"/>
    <mergeCell ref="G105:I105"/>
    <mergeCell ref="J105:L105"/>
    <mergeCell ref="B110:C110"/>
    <mergeCell ref="D110:E110"/>
    <mergeCell ref="G110:I110"/>
    <mergeCell ref="J110:L110"/>
    <mergeCell ref="B111:C111"/>
    <mergeCell ref="D111:E111"/>
    <mergeCell ref="G111:I111"/>
    <mergeCell ref="J111:L111"/>
    <mergeCell ref="B108:C108"/>
    <mergeCell ref="D108:E108"/>
    <mergeCell ref="G108:I108"/>
    <mergeCell ref="J108:L108"/>
    <mergeCell ref="B109:C109"/>
    <mergeCell ref="D109:E109"/>
    <mergeCell ref="G109:I109"/>
    <mergeCell ref="J109:L109"/>
    <mergeCell ref="A114:M114"/>
    <mergeCell ref="A116:B116"/>
    <mergeCell ref="A117:B117"/>
    <mergeCell ref="A118:H118"/>
    <mergeCell ref="A119:B119"/>
    <mergeCell ref="A120:B120"/>
    <mergeCell ref="B112:C112"/>
    <mergeCell ref="D112:E112"/>
    <mergeCell ref="G112:I112"/>
    <mergeCell ref="J112:L112"/>
    <mergeCell ref="B113:C113"/>
    <mergeCell ref="D113:E113"/>
    <mergeCell ref="G113:I113"/>
    <mergeCell ref="J113:L113"/>
    <mergeCell ref="B128:C128"/>
    <mergeCell ref="D128:L128"/>
    <mergeCell ref="B129:C129"/>
    <mergeCell ref="D129:L129"/>
    <mergeCell ref="B130:C130"/>
    <mergeCell ref="D130:L130"/>
    <mergeCell ref="A122:B122"/>
    <mergeCell ref="H122:L122"/>
    <mergeCell ref="B123:L123"/>
    <mergeCell ref="B124:L124"/>
    <mergeCell ref="B125:L125"/>
    <mergeCell ref="A127:L127"/>
    <mergeCell ref="B134:C134"/>
    <mergeCell ref="D134:E134"/>
    <mergeCell ref="G134:I134"/>
    <mergeCell ref="J134:L134"/>
    <mergeCell ref="B135:C135"/>
    <mergeCell ref="D135:E135"/>
    <mergeCell ref="G135:I135"/>
    <mergeCell ref="J135:L135"/>
    <mergeCell ref="B132:C132"/>
    <mergeCell ref="D132:E132"/>
    <mergeCell ref="G132:I132"/>
    <mergeCell ref="J132:L132"/>
    <mergeCell ref="B133:C133"/>
    <mergeCell ref="D133:E133"/>
    <mergeCell ref="G133:I133"/>
    <mergeCell ref="J133:L133"/>
    <mergeCell ref="B138:C138"/>
    <mergeCell ref="D138:E138"/>
    <mergeCell ref="G138:I138"/>
    <mergeCell ref="J138:L138"/>
    <mergeCell ref="A139:M142"/>
    <mergeCell ref="A144:B144"/>
    <mergeCell ref="B136:C136"/>
    <mergeCell ref="D136:E136"/>
    <mergeCell ref="G136:I136"/>
    <mergeCell ref="J136:L136"/>
    <mergeCell ref="B137:C137"/>
    <mergeCell ref="D137:E137"/>
    <mergeCell ref="G137:I137"/>
    <mergeCell ref="J137:L137"/>
    <mergeCell ref="A151:L151"/>
    <mergeCell ref="B152:C152"/>
    <mergeCell ref="D152:L152"/>
    <mergeCell ref="B153:C153"/>
    <mergeCell ref="D153:L153"/>
    <mergeCell ref="B154:C154"/>
    <mergeCell ref="D154:L154"/>
    <mergeCell ref="A145:B145"/>
    <mergeCell ref="A146:H146"/>
    <mergeCell ref="A147:B147"/>
    <mergeCell ref="A148:B148"/>
    <mergeCell ref="A150:B150"/>
    <mergeCell ref="H150:L150"/>
    <mergeCell ref="B158:C158"/>
    <mergeCell ref="D158:E158"/>
    <mergeCell ref="G158:I158"/>
    <mergeCell ref="J158:L158"/>
    <mergeCell ref="B159:C159"/>
    <mergeCell ref="D159:E159"/>
    <mergeCell ref="G159:I159"/>
    <mergeCell ref="J159:L159"/>
    <mergeCell ref="B155:C155"/>
    <mergeCell ref="D155:L155"/>
    <mergeCell ref="B157:C157"/>
    <mergeCell ref="D157:E157"/>
    <mergeCell ref="G157:I157"/>
    <mergeCell ref="J157:L157"/>
    <mergeCell ref="B162:C162"/>
    <mergeCell ref="D162:E162"/>
    <mergeCell ref="G162:I162"/>
    <mergeCell ref="J162:L162"/>
    <mergeCell ref="A163:J163"/>
    <mergeCell ref="A164:J164"/>
    <mergeCell ref="B160:C160"/>
    <mergeCell ref="D160:E160"/>
    <mergeCell ref="G160:I160"/>
    <mergeCell ref="J160:L160"/>
    <mergeCell ref="B161:C161"/>
    <mergeCell ref="D161:E161"/>
    <mergeCell ref="G161:I161"/>
    <mergeCell ref="J161:L16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93"/>
  <sheetViews>
    <sheetView workbookViewId="0">
      <selection sqref="A1:XFD1048576"/>
    </sheetView>
  </sheetViews>
  <sheetFormatPr defaultRowHeight="15"/>
  <cols>
    <col min="1" max="1" width="63.7109375" customWidth="1"/>
    <col min="2" max="2" width="12.5703125" customWidth="1"/>
    <col min="3" max="3" width="0.5703125" customWidth="1"/>
    <col min="4" max="4" width="4.140625" customWidth="1"/>
    <col min="5" max="5" width="1" customWidth="1"/>
    <col min="6" max="6" width="7" customWidth="1"/>
    <col min="7" max="7" width="5" customWidth="1"/>
    <col min="8" max="8" width="7.5703125" customWidth="1"/>
    <col min="9" max="9" width="5.7109375" customWidth="1"/>
    <col min="10" max="10" width="7.5703125" customWidth="1"/>
    <col min="11" max="11" width="0.5703125" customWidth="1"/>
    <col min="12" max="12" width="1" customWidth="1"/>
    <col min="13" max="13" width="4" customWidth="1"/>
    <col min="14" max="14" width="1" customWidth="1"/>
    <col min="15" max="15" width="6" customWidth="1"/>
    <col min="16" max="16" width="1" customWidth="1"/>
    <col min="17" max="17" width="11.140625" customWidth="1"/>
    <col min="18" max="18" width="0.5703125" customWidth="1"/>
  </cols>
  <sheetData>
    <row r="1" spans="1:18" ht="11.85" customHeight="1">
      <c r="A1" s="615" t="s">
        <v>1332</v>
      </c>
      <c r="B1" s="615"/>
      <c r="C1" s="615"/>
      <c r="Q1" s="448" t="s">
        <v>1817</v>
      </c>
    </row>
    <row r="2" spans="1:18" ht="11.1" customHeight="1">
      <c r="A2" s="615" t="s">
        <v>1818</v>
      </c>
      <c r="B2" s="615"/>
      <c r="C2" s="615"/>
    </row>
    <row r="3" spans="1:18" ht="11.85" customHeight="1">
      <c r="A3" s="619" t="s">
        <v>1961</v>
      </c>
      <c r="B3" s="619"/>
      <c r="C3" s="619"/>
      <c r="D3" s="619"/>
      <c r="E3" s="619"/>
      <c r="F3" s="619"/>
      <c r="G3" s="619"/>
      <c r="H3" s="619"/>
      <c r="I3" s="619"/>
      <c r="J3" s="619"/>
      <c r="K3" s="619"/>
      <c r="L3" s="619"/>
    </row>
    <row r="4" spans="1:18" ht="11.85" customHeight="1">
      <c r="A4" s="615" t="s">
        <v>1820</v>
      </c>
      <c r="B4" s="615"/>
      <c r="C4" s="615"/>
    </row>
    <row r="5" spans="1:18" ht="11.85" customHeight="1">
      <c r="A5" s="615" t="s">
        <v>1209</v>
      </c>
      <c r="B5" s="615"/>
      <c r="C5" s="615"/>
    </row>
    <row r="6" spans="1:18" ht="5.85" customHeight="1"/>
    <row r="7" spans="1:18" ht="11.1" customHeight="1">
      <c r="A7" s="616" t="s">
        <v>1962</v>
      </c>
      <c r="B7" s="616"/>
      <c r="C7" s="616"/>
      <c r="D7" s="449"/>
      <c r="E7" s="449"/>
      <c r="F7" s="449"/>
      <c r="G7" s="449"/>
      <c r="H7" s="449"/>
      <c r="I7" s="449"/>
      <c r="J7" s="449"/>
      <c r="K7" s="449"/>
      <c r="L7" s="654" t="s">
        <v>1211</v>
      </c>
      <c r="M7" s="654"/>
      <c r="N7" s="654"/>
      <c r="O7" s="654"/>
      <c r="P7" s="654"/>
      <c r="Q7" s="654"/>
    </row>
    <row r="8" spans="1:18" ht="11.85" customHeight="1">
      <c r="A8" s="611" t="s">
        <v>1963</v>
      </c>
      <c r="B8" s="612"/>
      <c r="C8" s="612"/>
      <c r="D8" s="612"/>
      <c r="E8" s="612"/>
      <c r="F8" s="612"/>
      <c r="G8" s="612"/>
      <c r="H8" s="612"/>
      <c r="I8" s="612"/>
      <c r="J8" s="612"/>
      <c r="K8" s="612"/>
      <c r="L8" s="612"/>
      <c r="M8" s="612"/>
      <c r="N8" s="612"/>
      <c r="O8" s="612"/>
      <c r="P8" s="612"/>
      <c r="Q8" s="613"/>
      <c r="R8" s="450"/>
    </row>
    <row r="9" spans="1:18" ht="28.9" customHeight="1">
      <c r="A9" s="491" t="s">
        <v>1964</v>
      </c>
      <c r="B9" s="597" t="s">
        <v>1825</v>
      </c>
      <c r="C9" s="602"/>
      <c r="D9" s="602"/>
      <c r="E9" s="602"/>
      <c r="F9" s="602"/>
      <c r="G9" s="603"/>
      <c r="H9" s="597" t="s">
        <v>1826</v>
      </c>
      <c r="I9" s="602"/>
      <c r="J9" s="602"/>
      <c r="K9" s="602"/>
      <c r="L9" s="602"/>
      <c r="M9" s="602"/>
      <c r="N9" s="602"/>
      <c r="O9" s="602"/>
      <c r="P9" s="602"/>
      <c r="Q9" s="603"/>
      <c r="R9" s="450"/>
    </row>
    <row r="10" spans="1:18" ht="14.85" customHeight="1">
      <c r="A10" s="500" t="s">
        <v>1965</v>
      </c>
      <c r="B10" s="606" t="s">
        <v>1368</v>
      </c>
      <c r="C10" s="607"/>
      <c r="D10" s="607"/>
      <c r="E10" s="607"/>
      <c r="F10" s="607"/>
      <c r="G10" s="608"/>
      <c r="H10" s="606" t="s">
        <v>1371</v>
      </c>
      <c r="I10" s="607"/>
      <c r="J10" s="607"/>
      <c r="K10" s="607"/>
      <c r="L10" s="607"/>
      <c r="M10" s="607"/>
      <c r="N10" s="607"/>
      <c r="O10" s="607"/>
      <c r="P10" s="607"/>
      <c r="Q10" s="608"/>
      <c r="R10" s="450"/>
    </row>
    <row r="11" spans="1:18" ht="14.85" customHeight="1">
      <c r="A11" s="501" t="s">
        <v>1966</v>
      </c>
      <c r="B11" s="589" t="s">
        <v>1967</v>
      </c>
      <c r="C11" s="590"/>
      <c r="D11" s="590"/>
      <c r="E11" s="590"/>
      <c r="F11" s="590"/>
      <c r="G11" s="591"/>
      <c r="H11" s="589" t="s">
        <v>1968</v>
      </c>
      <c r="I11" s="590"/>
      <c r="J11" s="590"/>
      <c r="K11" s="590"/>
      <c r="L11" s="590"/>
      <c r="M11" s="590"/>
      <c r="N11" s="590"/>
      <c r="O11" s="590"/>
      <c r="P11" s="590"/>
      <c r="Q11" s="591"/>
      <c r="R11" s="450"/>
    </row>
    <row r="12" spans="1:18" ht="14.85" customHeight="1">
      <c r="A12" s="501" t="s">
        <v>1969</v>
      </c>
      <c r="B12" s="589" t="s">
        <v>1970</v>
      </c>
      <c r="C12" s="590"/>
      <c r="D12" s="590"/>
      <c r="E12" s="590"/>
      <c r="F12" s="590"/>
      <c r="G12" s="591"/>
      <c r="H12" s="589" t="s">
        <v>1971</v>
      </c>
      <c r="I12" s="590"/>
      <c r="J12" s="590"/>
      <c r="K12" s="590"/>
      <c r="L12" s="590"/>
      <c r="M12" s="590"/>
      <c r="N12" s="590"/>
      <c r="O12" s="590"/>
      <c r="P12" s="590"/>
      <c r="Q12" s="591"/>
      <c r="R12" s="450"/>
    </row>
    <row r="13" spans="1:18" ht="14.1" customHeight="1">
      <c r="A13" s="501" t="s">
        <v>1972</v>
      </c>
      <c r="B13" s="589" t="s">
        <v>1973</v>
      </c>
      <c r="C13" s="590"/>
      <c r="D13" s="590"/>
      <c r="E13" s="590"/>
      <c r="F13" s="590"/>
      <c r="G13" s="591"/>
      <c r="H13" s="589" t="s">
        <v>1974</v>
      </c>
      <c r="I13" s="590"/>
      <c r="J13" s="590"/>
      <c r="K13" s="590"/>
      <c r="L13" s="590"/>
      <c r="M13" s="590"/>
      <c r="N13" s="590"/>
      <c r="O13" s="590"/>
      <c r="P13" s="590"/>
      <c r="Q13" s="591"/>
      <c r="R13" s="450"/>
    </row>
    <row r="14" spans="1:18" ht="14.85" customHeight="1">
      <c r="A14" s="501" t="s">
        <v>1975</v>
      </c>
      <c r="B14" s="589" t="s">
        <v>1976</v>
      </c>
      <c r="C14" s="590"/>
      <c r="D14" s="590"/>
      <c r="E14" s="590"/>
      <c r="F14" s="590"/>
      <c r="G14" s="591"/>
      <c r="H14" s="589" t="s">
        <v>1977</v>
      </c>
      <c r="I14" s="590"/>
      <c r="J14" s="590"/>
      <c r="K14" s="590"/>
      <c r="L14" s="590"/>
      <c r="M14" s="590"/>
      <c r="N14" s="590"/>
      <c r="O14" s="590"/>
      <c r="P14" s="590"/>
      <c r="Q14" s="591"/>
      <c r="R14" s="450"/>
    </row>
    <row r="15" spans="1:18" ht="14.85" customHeight="1">
      <c r="A15" s="501" t="s">
        <v>1978</v>
      </c>
      <c r="B15" s="589" t="s">
        <v>1979</v>
      </c>
      <c r="C15" s="590"/>
      <c r="D15" s="590"/>
      <c r="E15" s="590"/>
      <c r="F15" s="590"/>
      <c r="G15" s="591"/>
      <c r="H15" s="589" t="s">
        <v>1980</v>
      </c>
      <c r="I15" s="590"/>
      <c r="J15" s="590"/>
      <c r="K15" s="590"/>
      <c r="L15" s="590"/>
      <c r="M15" s="590"/>
      <c r="N15" s="590"/>
      <c r="O15" s="590"/>
      <c r="P15" s="590"/>
      <c r="Q15" s="591"/>
      <c r="R15" s="450"/>
    </row>
    <row r="16" spans="1:18" ht="14.1" customHeight="1">
      <c r="A16" s="501" t="s">
        <v>1981</v>
      </c>
      <c r="B16" s="589" t="s">
        <v>1982</v>
      </c>
      <c r="C16" s="590"/>
      <c r="D16" s="590"/>
      <c r="E16" s="590"/>
      <c r="F16" s="590"/>
      <c r="G16" s="591"/>
      <c r="H16" s="589" t="s">
        <v>1983</v>
      </c>
      <c r="I16" s="590"/>
      <c r="J16" s="590"/>
      <c r="K16" s="590"/>
      <c r="L16" s="590"/>
      <c r="M16" s="590"/>
      <c r="N16" s="590"/>
      <c r="O16" s="590"/>
      <c r="P16" s="590"/>
      <c r="Q16" s="591"/>
      <c r="R16" s="450"/>
    </row>
    <row r="17" spans="1:18" ht="14.85" customHeight="1">
      <c r="A17" s="501" t="s">
        <v>1984</v>
      </c>
      <c r="B17" s="589" t="s">
        <v>1985</v>
      </c>
      <c r="C17" s="590"/>
      <c r="D17" s="590"/>
      <c r="E17" s="590"/>
      <c r="F17" s="590"/>
      <c r="G17" s="591"/>
      <c r="H17" s="589" t="s">
        <v>1983</v>
      </c>
      <c r="I17" s="590"/>
      <c r="J17" s="590"/>
      <c r="K17" s="590"/>
      <c r="L17" s="590"/>
      <c r="M17" s="590"/>
      <c r="N17" s="590"/>
      <c r="O17" s="590"/>
      <c r="P17" s="590"/>
      <c r="Q17" s="591"/>
      <c r="R17" s="450"/>
    </row>
    <row r="18" spans="1:18" ht="14.85" customHeight="1">
      <c r="A18" s="501" t="s">
        <v>1986</v>
      </c>
      <c r="B18" s="589" t="s">
        <v>1987</v>
      </c>
      <c r="C18" s="590"/>
      <c r="D18" s="590"/>
      <c r="E18" s="590"/>
      <c r="F18" s="590"/>
      <c r="G18" s="591"/>
      <c r="H18" s="589" t="s">
        <v>1219</v>
      </c>
      <c r="I18" s="590"/>
      <c r="J18" s="590"/>
      <c r="K18" s="590"/>
      <c r="L18" s="590"/>
      <c r="M18" s="590"/>
      <c r="N18" s="590"/>
      <c r="O18" s="590"/>
      <c r="P18" s="590"/>
      <c r="Q18" s="591"/>
      <c r="R18" s="450"/>
    </row>
    <row r="19" spans="1:18" ht="14.1" customHeight="1">
      <c r="A19" s="501" t="s">
        <v>1988</v>
      </c>
      <c r="B19" s="589" t="s">
        <v>1989</v>
      </c>
      <c r="C19" s="590"/>
      <c r="D19" s="590"/>
      <c r="E19" s="590"/>
      <c r="F19" s="590"/>
      <c r="G19" s="591"/>
      <c r="H19" s="589" t="s">
        <v>1990</v>
      </c>
      <c r="I19" s="590"/>
      <c r="J19" s="590"/>
      <c r="K19" s="590"/>
      <c r="L19" s="590"/>
      <c r="M19" s="590"/>
      <c r="N19" s="590"/>
      <c r="O19" s="590"/>
      <c r="P19" s="590"/>
      <c r="Q19" s="591"/>
      <c r="R19" s="450"/>
    </row>
    <row r="20" spans="1:18" ht="14.85" customHeight="1">
      <c r="A20" s="501" t="s">
        <v>1991</v>
      </c>
      <c r="B20" s="589" t="s">
        <v>1992</v>
      </c>
      <c r="C20" s="590"/>
      <c r="D20" s="590"/>
      <c r="E20" s="590"/>
      <c r="F20" s="590"/>
      <c r="G20" s="591"/>
      <c r="H20" s="589" t="s">
        <v>1993</v>
      </c>
      <c r="I20" s="590"/>
      <c r="J20" s="590"/>
      <c r="K20" s="590"/>
      <c r="L20" s="590"/>
      <c r="M20" s="590"/>
      <c r="N20" s="590"/>
      <c r="O20" s="590"/>
      <c r="P20" s="590"/>
      <c r="Q20" s="591"/>
      <c r="R20" s="450"/>
    </row>
    <row r="21" spans="1:18" ht="14.85" customHeight="1">
      <c r="A21" s="501" t="s">
        <v>1994</v>
      </c>
      <c r="B21" s="589" t="s">
        <v>1995</v>
      </c>
      <c r="C21" s="590"/>
      <c r="D21" s="590"/>
      <c r="E21" s="590"/>
      <c r="F21" s="590"/>
      <c r="G21" s="591"/>
      <c r="H21" s="589" t="s">
        <v>1996</v>
      </c>
      <c r="I21" s="590"/>
      <c r="J21" s="590"/>
      <c r="K21" s="590"/>
      <c r="L21" s="590"/>
      <c r="M21" s="590"/>
      <c r="N21" s="590"/>
      <c r="O21" s="590"/>
      <c r="P21" s="590"/>
      <c r="Q21" s="591"/>
      <c r="R21" s="450"/>
    </row>
    <row r="22" spans="1:18" ht="14.1" customHeight="1">
      <c r="A22" s="501" t="s">
        <v>1997</v>
      </c>
      <c r="B22" s="589" t="s">
        <v>1998</v>
      </c>
      <c r="C22" s="590"/>
      <c r="D22" s="590"/>
      <c r="E22" s="590"/>
      <c r="F22" s="590"/>
      <c r="G22" s="591"/>
      <c r="H22" s="589" t="s">
        <v>1999</v>
      </c>
      <c r="I22" s="590"/>
      <c r="J22" s="590"/>
      <c r="K22" s="590"/>
      <c r="L22" s="590"/>
      <c r="M22" s="590"/>
      <c r="N22" s="590"/>
      <c r="O22" s="590"/>
      <c r="P22" s="590"/>
      <c r="Q22" s="591"/>
      <c r="R22" s="450"/>
    </row>
    <row r="23" spans="1:18" ht="14.85" customHeight="1">
      <c r="A23" s="501" t="s">
        <v>2000</v>
      </c>
      <c r="B23" s="589" t="s">
        <v>1219</v>
      </c>
      <c r="C23" s="590"/>
      <c r="D23" s="590"/>
      <c r="E23" s="590"/>
      <c r="F23" s="590"/>
      <c r="G23" s="591"/>
      <c r="H23" s="589" t="s">
        <v>1219</v>
      </c>
      <c r="I23" s="590"/>
      <c r="J23" s="590"/>
      <c r="K23" s="590"/>
      <c r="L23" s="590"/>
      <c r="M23" s="590"/>
      <c r="N23" s="590"/>
      <c r="O23" s="590"/>
      <c r="P23" s="590"/>
      <c r="Q23" s="591"/>
      <c r="R23" s="450"/>
    </row>
    <row r="24" spans="1:18" ht="14.85" customHeight="1">
      <c r="A24" s="501" t="s">
        <v>2001</v>
      </c>
      <c r="B24" s="589" t="s">
        <v>1219</v>
      </c>
      <c r="C24" s="590"/>
      <c r="D24" s="590"/>
      <c r="E24" s="590"/>
      <c r="F24" s="590"/>
      <c r="G24" s="591"/>
      <c r="H24" s="589" t="s">
        <v>1219</v>
      </c>
      <c r="I24" s="590"/>
      <c r="J24" s="590"/>
      <c r="K24" s="590"/>
      <c r="L24" s="590"/>
      <c r="M24" s="590"/>
      <c r="N24" s="590"/>
      <c r="O24" s="590"/>
      <c r="P24" s="590"/>
      <c r="Q24" s="591"/>
      <c r="R24" s="450"/>
    </row>
    <row r="25" spans="1:18" ht="14.1" customHeight="1">
      <c r="A25" s="502" t="s">
        <v>2002</v>
      </c>
      <c r="B25" s="668" t="s">
        <v>2003</v>
      </c>
      <c r="C25" s="669"/>
      <c r="D25" s="669"/>
      <c r="E25" s="669"/>
      <c r="F25" s="669"/>
      <c r="G25" s="670"/>
      <c r="H25" s="668" t="s">
        <v>2004</v>
      </c>
      <c r="I25" s="669"/>
      <c r="J25" s="669"/>
      <c r="K25" s="669"/>
      <c r="L25" s="669"/>
      <c r="M25" s="669"/>
      <c r="N25" s="669"/>
      <c r="O25" s="669"/>
      <c r="P25" s="669"/>
      <c r="Q25" s="670"/>
      <c r="R25" s="450"/>
    </row>
    <row r="26" spans="1:18" ht="14.85" customHeight="1">
      <c r="A26" s="502" t="s">
        <v>2005</v>
      </c>
      <c r="B26" s="668" t="s">
        <v>2006</v>
      </c>
      <c r="C26" s="669"/>
      <c r="D26" s="669"/>
      <c r="E26" s="669"/>
      <c r="F26" s="669"/>
      <c r="G26" s="670"/>
      <c r="H26" s="668" t="s">
        <v>2007</v>
      </c>
      <c r="I26" s="669"/>
      <c r="J26" s="669"/>
      <c r="K26" s="669"/>
      <c r="L26" s="669"/>
      <c r="M26" s="669"/>
      <c r="N26" s="669"/>
      <c r="O26" s="669"/>
      <c r="P26" s="669"/>
      <c r="Q26" s="670"/>
      <c r="R26" s="450"/>
    </row>
    <row r="27" spans="1:18" ht="14.85" customHeight="1">
      <c r="A27" s="503" t="s">
        <v>2008</v>
      </c>
      <c r="B27" s="685" t="s">
        <v>2009</v>
      </c>
      <c r="C27" s="686"/>
      <c r="D27" s="686"/>
      <c r="E27" s="686"/>
      <c r="F27" s="686"/>
      <c r="G27" s="687"/>
      <c r="H27" s="685" t="s">
        <v>2010</v>
      </c>
      <c r="I27" s="686"/>
      <c r="J27" s="686"/>
      <c r="K27" s="686"/>
      <c r="L27" s="686"/>
      <c r="M27" s="686"/>
      <c r="N27" s="686"/>
      <c r="O27" s="686"/>
      <c r="P27" s="686"/>
      <c r="Q27" s="687"/>
      <c r="R27" s="450"/>
    </row>
    <row r="28" spans="1:18" ht="11.85" customHeight="1">
      <c r="A28" s="462"/>
      <c r="B28" s="462"/>
      <c r="C28" s="462"/>
      <c r="D28" s="462"/>
      <c r="E28" s="462"/>
      <c r="F28" s="462"/>
      <c r="G28" s="462"/>
      <c r="H28" s="462"/>
      <c r="I28" s="462"/>
      <c r="J28" s="462"/>
      <c r="K28" s="462"/>
      <c r="L28" s="462"/>
      <c r="M28" s="462"/>
      <c r="N28" s="462"/>
      <c r="O28" s="462"/>
      <c r="P28" s="462"/>
      <c r="Q28" s="462"/>
    </row>
    <row r="29" spans="1:18" ht="11.1" customHeight="1">
      <c r="A29" s="611" t="s">
        <v>257</v>
      </c>
      <c r="B29" s="612"/>
      <c r="C29" s="612"/>
      <c r="D29" s="612"/>
      <c r="E29" s="612"/>
      <c r="F29" s="612"/>
      <c r="G29" s="612"/>
      <c r="H29" s="612"/>
      <c r="I29" s="612"/>
      <c r="J29" s="612"/>
      <c r="K29" s="612"/>
      <c r="L29" s="612"/>
      <c r="M29" s="612"/>
      <c r="N29" s="612"/>
      <c r="O29" s="612"/>
      <c r="P29" s="612"/>
      <c r="Q29" s="613"/>
      <c r="R29" s="450"/>
    </row>
    <row r="30" spans="1:18" ht="29.65" customHeight="1">
      <c r="A30" s="491" t="s">
        <v>2011</v>
      </c>
      <c r="B30" s="597" t="s">
        <v>1825</v>
      </c>
      <c r="C30" s="602"/>
      <c r="D30" s="602"/>
      <c r="E30" s="602"/>
      <c r="F30" s="602"/>
      <c r="G30" s="603"/>
      <c r="H30" s="597" t="s">
        <v>1826</v>
      </c>
      <c r="I30" s="602"/>
      <c r="J30" s="602"/>
      <c r="K30" s="602"/>
      <c r="L30" s="602"/>
      <c r="M30" s="602"/>
      <c r="N30" s="602"/>
      <c r="O30" s="602"/>
      <c r="P30" s="602"/>
      <c r="Q30" s="603"/>
      <c r="R30" s="450"/>
    </row>
    <row r="31" spans="1:18" ht="11.1" customHeight="1">
      <c r="A31" s="500" t="s">
        <v>2012</v>
      </c>
      <c r="B31" s="606" t="s">
        <v>1475</v>
      </c>
      <c r="C31" s="607"/>
      <c r="D31" s="607"/>
      <c r="E31" s="607"/>
      <c r="F31" s="607"/>
      <c r="G31" s="608"/>
      <c r="H31" s="606" t="s">
        <v>1478</v>
      </c>
      <c r="I31" s="607"/>
      <c r="J31" s="607"/>
      <c r="K31" s="607"/>
      <c r="L31" s="607"/>
      <c r="M31" s="607"/>
      <c r="N31" s="607"/>
      <c r="O31" s="607"/>
      <c r="P31" s="607"/>
      <c r="Q31" s="608"/>
      <c r="R31" s="450"/>
    </row>
    <row r="32" spans="1:18" ht="11.85" customHeight="1">
      <c r="A32" s="501" t="s">
        <v>2013</v>
      </c>
      <c r="B32" s="589" t="s">
        <v>1475</v>
      </c>
      <c r="C32" s="590"/>
      <c r="D32" s="590"/>
      <c r="E32" s="590"/>
      <c r="F32" s="590"/>
      <c r="G32" s="591"/>
      <c r="H32" s="589" t="s">
        <v>1478</v>
      </c>
      <c r="I32" s="590"/>
      <c r="J32" s="590"/>
      <c r="K32" s="590"/>
      <c r="L32" s="590"/>
      <c r="M32" s="590"/>
      <c r="N32" s="590"/>
      <c r="O32" s="590"/>
      <c r="P32" s="590"/>
      <c r="Q32" s="591"/>
      <c r="R32" s="450"/>
    </row>
    <row r="33" spans="1:18" ht="11.85" customHeight="1">
      <c r="A33" s="501" t="s">
        <v>2014</v>
      </c>
      <c r="B33" s="589" t="s">
        <v>1475</v>
      </c>
      <c r="C33" s="590"/>
      <c r="D33" s="590"/>
      <c r="E33" s="590"/>
      <c r="F33" s="590"/>
      <c r="G33" s="591"/>
      <c r="H33" s="589" t="s">
        <v>1478</v>
      </c>
      <c r="I33" s="590"/>
      <c r="J33" s="590"/>
      <c r="K33" s="590"/>
      <c r="L33" s="590"/>
      <c r="M33" s="590"/>
      <c r="N33" s="590"/>
      <c r="O33" s="590"/>
      <c r="P33" s="590"/>
      <c r="Q33" s="591"/>
      <c r="R33" s="450"/>
    </row>
    <row r="34" spans="1:18" ht="11.85" customHeight="1">
      <c r="A34" s="501" t="s">
        <v>2015</v>
      </c>
      <c r="B34" s="589" t="s">
        <v>1219</v>
      </c>
      <c r="C34" s="590"/>
      <c r="D34" s="590"/>
      <c r="E34" s="590"/>
      <c r="F34" s="590"/>
      <c r="G34" s="591"/>
      <c r="H34" s="589" t="s">
        <v>1219</v>
      </c>
      <c r="I34" s="590"/>
      <c r="J34" s="590"/>
      <c r="K34" s="590"/>
      <c r="L34" s="590"/>
      <c r="M34" s="590"/>
      <c r="N34" s="590"/>
      <c r="O34" s="590"/>
      <c r="P34" s="590"/>
      <c r="Q34" s="591"/>
      <c r="R34" s="450"/>
    </row>
    <row r="35" spans="1:18" ht="11.1" customHeight="1">
      <c r="A35" s="501" t="s">
        <v>2016</v>
      </c>
      <c r="B35" s="589" t="s">
        <v>1219</v>
      </c>
      <c r="C35" s="590"/>
      <c r="D35" s="590"/>
      <c r="E35" s="590"/>
      <c r="F35" s="590"/>
      <c r="G35" s="591"/>
      <c r="H35" s="589" t="s">
        <v>1219</v>
      </c>
      <c r="I35" s="590"/>
      <c r="J35" s="590"/>
      <c r="K35" s="590"/>
      <c r="L35" s="590"/>
      <c r="M35" s="590"/>
      <c r="N35" s="590"/>
      <c r="O35" s="590"/>
      <c r="P35" s="590"/>
      <c r="Q35" s="591"/>
      <c r="R35" s="450"/>
    </row>
    <row r="36" spans="1:18" ht="11.85" customHeight="1">
      <c r="A36" s="501" t="s">
        <v>2017</v>
      </c>
      <c r="B36" s="589" t="s">
        <v>1219</v>
      </c>
      <c r="C36" s="590"/>
      <c r="D36" s="590"/>
      <c r="E36" s="590"/>
      <c r="F36" s="590"/>
      <c r="G36" s="591"/>
      <c r="H36" s="589" t="s">
        <v>1219</v>
      </c>
      <c r="I36" s="590"/>
      <c r="J36" s="590"/>
      <c r="K36" s="590"/>
      <c r="L36" s="590"/>
      <c r="M36" s="590"/>
      <c r="N36" s="590"/>
      <c r="O36" s="590"/>
      <c r="P36" s="590"/>
      <c r="Q36" s="591"/>
      <c r="R36" s="450"/>
    </row>
    <row r="37" spans="1:18" ht="11.85" customHeight="1">
      <c r="A37" s="501" t="s">
        <v>2018</v>
      </c>
      <c r="B37" s="589" t="s">
        <v>1219</v>
      </c>
      <c r="C37" s="590"/>
      <c r="D37" s="590"/>
      <c r="E37" s="590"/>
      <c r="F37" s="590"/>
      <c r="G37" s="591"/>
      <c r="H37" s="589" t="s">
        <v>1219</v>
      </c>
      <c r="I37" s="590"/>
      <c r="J37" s="590"/>
      <c r="K37" s="590"/>
      <c r="L37" s="590"/>
      <c r="M37" s="590"/>
      <c r="N37" s="590"/>
      <c r="O37" s="590"/>
      <c r="P37" s="590"/>
      <c r="Q37" s="591"/>
      <c r="R37" s="450"/>
    </row>
    <row r="38" spans="1:18" ht="11.85" customHeight="1">
      <c r="A38" s="501" t="s">
        <v>2019</v>
      </c>
      <c r="B38" s="589" t="s">
        <v>1219</v>
      </c>
      <c r="C38" s="590"/>
      <c r="D38" s="590"/>
      <c r="E38" s="590"/>
      <c r="F38" s="590"/>
      <c r="G38" s="591"/>
      <c r="H38" s="589" t="s">
        <v>1219</v>
      </c>
      <c r="I38" s="590"/>
      <c r="J38" s="590"/>
      <c r="K38" s="590"/>
      <c r="L38" s="590"/>
      <c r="M38" s="590"/>
      <c r="N38" s="590"/>
      <c r="O38" s="590"/>
      <c r="P38" s="590"/>
      <c r="Q38" s="591"/>
      <c r="R38" s="450"/>
    </row>
    <row r="39" spans="1:18" ht="11.1" customHeight="1">
      <c r="A39" s="501" t="s">
        <v>2020</v>
      </c>
      <c r="B39" s="589" t="s">
        <v>1219</v>
      </c>
      <c r="C39" s="590"/>
      <c r="D39" s="590"/>
      <c r="E39" s="590"/>
      <c r="F39" s="590"/>
      <c r="G39" s="591"/>
      <c r="H39" s="589" t="s">
        <v>1219</v>
      </c>
      <c r="I39" s="590"/>
      <c r="J39" s="590"/>
      <c r="K39" s="590"/>
      <c r="L39" s="590"/>
      <c r="M39" s="590"/>
      <c r="N39" s="590"/>
      <c r="O39" s="590"/>
      <c r="P39" s="590"/>
      <c r="Q39" s="591"/>
      <c r="R39" s="450"/>
    </row>
    <row r="40" spans="1:18" ht="11.85" customHeight="1">
      <c r="A40" s="501" t="s">
        <v>2021</v>
      </c>
      <c r="B40" s="589" t="s">
        <v>1219</v>
      </c>
      <c r="C40" s="590"/>
      <c r="D40" s="590"/>
      <c r="E40" s="590"/>
      <c r="F40" s="590"/>
      <c r="G40" s="591"/>
      <c r="H40" s="589" t="s">
        <v>1219</v>
      </c>
      <c r="I40" s="590"/>
      <c r="J40" s="590"/>
      <c r="K40" s="590"/>
      <c r="L40" s="590"/>
      <c r="M40" s="590"/>
      <c r="N40" s="590"/>
      <c r="O40" s="590"/>
      <c r="P40" s="590"/>
      <c r="Q40" s="591"/>
      <c r="R40" s="450"/>
    </row>
    <row r="41" spans="1:18" ht="5.85" customHeight="1"/>
    <row r="42" spans="1:18" ht="11.85" customHeight="1">
      <c r="A42" s="615" t="s">
        <v>1332</v>
      </c>
      <c r="B42" s="615"/>
      <c r="C42" s="615"/>
      <c r="Q42" s="448" t="s">
        <v>1893</v>
      </c>
    </row>
    <row r="43" spans="1:18" ht="11.1" customHeight="1">
      <c r="A43" s="615" t="s">
        <v>1818</v>
      </c>
      <c r="B43" s="615"/>
      <c r="C43" s="615"/>
    </row>
    <row r="44" spans="1:18" ht="11.85" customHeight="1">
      <c r="A44" s="619" t="s">
        <v>1961</v>
      </c>
      <c r="B44" s="619"/>
      <c r="C44" s="619"/>
      <c r="D44" s="619"/>
      <c r="E44" s="619"/>
      <c r="F44" s="619"/>
      <c r="G44" s="619"/>
      <c r="H44" s="619"/>
      <c r="I44" s="619"/>
      <c r="J44" s="619"/>
      <c r="K44" s="619"/>
      <c r="L44" s="619"/>
    </row>
    <row r="45" spans="1:18" ht="11.85" customHeight="1">
      <c r="A45" s="615" t="s">
        <v>1820</v>
      </c>
      <c r="B45" s="615"/>
      <c r="C45" s="615"/>
    </row>
    <row r="46" spans="1:18" ht="11.85" customHeight="1">
      <c r="A46" s="615" t="s">
        <v>1209</v>
      </c>
      <c r="B46" s="615"/>
      <c r="C46" s="615"/>
    </row>
    <row r="47" spans="1:18" ht="5.85" customHeight="1"/>
    <row r="48" spans="1:18" ht="11.1" customHeight="1">
      <c r="A48" s="616" t="s">
        <v>1962</v>
      </c>
      <c r="B48" s="616"/>
      <c r="C48" s="616"/>
      <c r="D48" s="449"/>
      <c r="E48" s="449"/>
      <c r="F48" s="449"/>
      <c r="G48" s="449"/>
      <c r="H48" s="449"/>
      <c r="I48" s="449"/>
      <c r="J48" s="449"/>
      <c r="K48" s="449"/>
      <c r="L48" s="654" t="s">
        <v>1211</v>
      </c>
      <c r="M48" s="654"/>
      <c r="N48" s="654"/>
      <c r="O48" s="654"/>
      <c r="P48" s="654"/>
      <c r="Q48" s="654"/>
    </row>
    <row r="49" spans="1:18" ht="11.85" customHeight="1">
      <c r="A49" s="611" t="s">
        <v>257</v>
      </c>
      <c r="B49" s="612"/>
      <c r="C49" s="612"/>
      <c r="D49" s="612"/>
      <c r="E49" s="612"/>
      <c r="F49" s="612"/>
      <c r="G49" s="612"/>
      <c r="H49" s="612"/>
      <c r="I49" s="612"/>
      <c r="J49" s="612"/>
      <c r="K49" s="612"/>
      <c r="L49" s="612"/>
      <c r="M49" s="612"/>
      <c r="N49" s="612"/>
      <c r="O49" s="612"/>
      <c r="P49" s="612"/>
      <c r="Q49" s="613"/>
      <c r="R49" s="450"/>
    </row>
    <row r="50" spans="1:18" ht="28.9" customHeight="1">
      <c r="A50" s="491" t="s">
        <v>2011</v>
      </c>
      <c r="B50" s="597" t="s">
        <v>1825</v>
      </c>
      <c r="C50" s="602"/>
      <c r="D50" s="602"/>
      <c r="E50" s="602"/>
      <c r="F50" s="602"/>
      <c r="G50" s="603"/>
      <c r="H50" s="597" t="s">
        <v>1826</v>
      </c>
      <c r="I50" s="602"/>
      <c r="J50" s="602"/>
      <c r="K50" s="602"/>
      <c r="L50" s="602"/>
      <c r="M50" s="602"/>
      <c r="N50" s="602"/>
      <c r="O50" s="602"/>
      <c r="P50" s="602"/>
      <c r="Q50" s="603"/>
      <c r="R50" s="450"/>
    </row>
    <row r="51" spans="1:18" ht="11.85" customHeight="1">
      <c r="A51" s="504" t="s">
        <v>2022</v>
      </c>
      <c r="B51" s="629" t="s">
        <v>2023</v>
      </c>
      <c r="C51" s="630"/>
      <c r="D51" s="630"/>
      <c r="E51" s="630"/>
      <c r="F51" s="630"/>
      <c r="G51" s="631"/>
      <c r="H51" s="629" t="s">
        <v>2024</v>
      </c>
      <c r="I51" s="630"/>
      <c r="J51" s="630"/>
      <c r="K51" s="630"/>
      <c r="L51" s="630"/>
      <c r="M51" s="630"/>
      <c r="N51" s="630"/>
      <c r="O51" s="630"/>
      <c r="P51" s="630"/>
      <c r="Q51" s="631"/>
      <c r="R51" s="450"/>
    </row>
    <row r="52" spans="1:18" ht="11.85" customHeight="1">
      <c r="A52" s="462"/>
      <c r="B52" s="462"/>
      <c r="C52" s="462"/>
      <c r="D52" s="462"/>
      <c r="E52" s="462"/>
      <c r="F52" s="462"/>
      <c r="G52" s="462"/>
      <c r="H52" s="462"/>
      <c r="I52" s="462"/>
      <c r="J52" s="462"/>
      <c r="K52" s="462"/>
      <c r="L52" s="462"/>
      <c r="M52" s="462"/>
      <c r="N52" s="462"/>
      <c r="O52" s="462"/>
      <c r="P52" s="462"/>
      <c r="Q52" s="462"/>
    </row>
    <row r="53" spans="1:18" ht="17.850000000000001" customHeight="1">
      <c r="A53" s="491" t="s">
        <v>2025</v>
      </c>
      <c r="B53" s="597" t="s">
        <v>1310</v>
      </c>
      <c r="C53" s="602"/>
      <c r="D53" s="602"/>
      <c r="E53" s="602"/>
      <c r="F53" s="602"/>
      <c r="G53" s="602"/>
      <c r="H53" s="602"/>
      <c r="I53" s="602"/>
      <c r="J53" s="602"/>
      <c r="K53" s="602"/>
      <c r="L53" s="602"/>
      <c r="M53" s="602"/>
      <c r="N53" s="602"/>
      <c r="O53" s="602"/>
      <c r="P53" s="602"/>
      <c r="Q53" s="603"/>
      <c r="R53" s="450"/>
    </row>
    <row r="54" spans="1:18" ht="11.1" customHeight="1">
      <c r="A54" s="500" t="s">
        <v>2026</v>
      </c>
      <c r="B54" s="606" t="s">
        <v>1219</v>
      </c>
      <c r="C54" s="607"/>
      <c r="D54" s="607"/>
      <c r="E54" s="607"/>
      <c r="F54" s="607"/>
      <c r="G54" s="607"/>
      <c r="H54" s="607"/>
      <c r="I54" s="607"/>
      <c r="J54" s="607"/>
      <c r="K54" s="607"/>
      <c r="L54" s="607"/>
      <c r="M54" s="607"/>
      <c r="N54" s="607"/>
      <c r="O54" s="607"/>
      <c r="P54" s="607"/>
      <c r="Q54" s="608"/>
      <c r="R54" s="450"/>
    </row>
    <row r="55" spans="1:18" ht="11.85" customHeight="1">
      <c r="A55" s="501" t="s">
        <v>2027</v>
      </c>
      <c r="B55" s="589" t="s">
        <v>1219</v>
      </c>
      <c r="C55" s="590"/>
      <c r="D55" s="590"/>
      <c r="E55" s="590"/>
      <c r="F55" s="590"/>
      <c r="G55" s="590"/>
      <c r="H55" s="590"/>
      <c r="I55" s="590"/>
      <c r="J55" s="590"/>
      <c r="K55" s="590"/>
      <c r="L55" s="590"/>
      <c r="M55" s="590"/>
      <c r="N55" s="590"/>
      <c r="O55" s="590"/>
      <c r="P55" s="590"/>
      <c r="Q55" s="591"/>
      <c r="R55" s="450"/>
    </row>
    <row r="56" spans="1:18" ht="11.85" customHeight="1">
      <c r="A56" s="505" t="s">
        <v>2028</v>
      </c>
      <c r="B56" s="594" t="s">
        <v>1219</v>
      </c>
      <c r="C56" s="595"/>
      <c r="D56" s="595"/>
      <c r="E56" s="595"/>
      <c r="F56" s="595"/>
      <c r="G56" s="595"/>
      <c r="H56" s="595"/>
      <c r="I56" s="595"/>
      <c r="J56" s="595"/>
      <c r="K56" s="595"/>
      <c r="L56" s="595"/>
      <c r="M56" s="595"/>
      <c r="N56" s="595"/>
      <c r="O56" s="595"/>
      <c r="P56" s="595"/>
      <c r="Q56" s="596"/>
      <c r="R56" s="450"/>
    </row>
    <row r="57" spans="1:18" ht="11.85" customHeight="1">
      <c r="A57" s="506" t="s">
        <v>2029</v>
      </c>
      <c r="B57" s="665" t="s">
        <v>1478</v>
      </c>
      <c r="C57" s="666"/>
      <c r="D57" s="666"/>
      <c r="E57" s="666"/>
      <c r="F57" s="666"/>
      <c r="G57" s="666"/>
      <c r="H57" s="666"/>
      <c r="I57" s="666"/>
      <c r="J57" s="666"/>
      <c r="K57" s="666"/>
      <c r="L57" s="666"/>
      <c r="M57" s="666"/>
      <c r="N57" s="666"/>
      <c r="O57" s="666"/>
      <c r="P57" s="666"/>
      <c r="Q57" s="667"/>
      <c r="R57" s="450"/>
    </row>
    <row r="58" spans="1:18" ht="11.1" customHeight="1">
      <c r="A58" s="462"/>
      <c r="B58" s="462"/>
      <c r="C58" s="462"/>
      <c r="D58" s="462"/>
      <c r="E58" s="462"/>
      <c r="F58" s="462"/>
      <c r="G58" s="462"/>
      <c r="H58" s="462"/>
      <c r="I58" s="462"/>
      <c r="J58" s="462"/>
      <c r="K58" s="462"/>
      <c r="L58" s="462"/>
      <c r="M58" s="462"/>
      <c r="N58" s="462"/>
      <c r="O58" s="462"/>
      <c r="P58" s="462"/>
      <c r="Q58" s="462"/>
    </row>
    <row r="59" spans="1:18" ht="35.450000000000003" customHeight="1">
      <c r="A59" s="451" t="s">
        <v>2030</v>
      </c>
      <c r="B59" s="597" t="s">
        <v>1869</v>
      </c>
      <c r="C59" s="602"/>
      <c r="D59" s="603"/>
      <c r="E59" s="597" t="s">
        <v>1870</v>
      </c>
      <c r="F59" s="602"/>
      <c r="G59" s="603"/>
      <c r="H59" s="597" t="s">
        <v>1871</v>
      </c>
      <c r="I59" s="603"/>
      <c r="J59" s="597" t="s">
        <v>1872</v>
      </c>
      <c r="K59" s="602"/>
      <c r="L59" s="602"/>
      <c r="M59" s="603"/>
      <c r="N59" s="597" t="s">
        <v>2031</v>
      </c>
      <c r="O59" s="602"/>
      <c r="P59" s="602"/>
      <c r="Q59" s="603"/>
      <c r="R59" s="450"/>
    </row>
    <row r="60" spans="1:18" ht="11.1" customHeight="1">
      <c r="A60" s="452" t="s">
        <v>2032</v>
      </c>
      <c r="B60" s="604" t="s">
        <v>1219</v>
      </c>
      <c r="C60" s="628"/>
      <c r="D60" s="605"/>
      <c r="E60" s="604" t="s">
        <v>1219</v>
      </c>
      <c r="F60" s="628"/>
      <c r="G60" s="605"/>
      <c r="H60" s="604" t="s">
        <v>1219</v>
      </c>
      <c r="I60" s="605"/>
      <c r="J60" s="604" t="s">
        <v>1219</v>
      </c>
      <c r="K60" s="628"/>
      <c r="L60" s="628"/>
      <c r="M60" s="605"/>
      <c r="N60" s="604" t="s">
        <v>1219</v>
      </c>
      <c r="O60" s="628"/>
      <c r="P60" s="628"/>
      <c r="Q60" s="605"/>
      <c r="R60" s="464"/>
    </row>
    <row r="61" spans="1:18" ht="11.85" customHeight="1">
      <c r="A61" s="454" t="s">
        <v>2033</v>
      </c>
      <c r="B61" s="587" t="s">
        <v>1219</v>
      </c>
      <c r="C61" s="626"/>
      <c r="D61" s="588"/>
      <c r="E61" s="587" t="s">
        <v>1219</v>
      </c>
      <c r="F61" s="626"/>
      <c r="G61" s="588"/>
      <c r="H61" s="587" t="s">
        <v>1219</v>
      </c>
      <c r="I61" s="588"/>
      <c r="J61" s="587" t="s">
        <v>1219</v>
      </c>
      <c r="K61" s="626"/>
      <c r="L61" s="626"/>
      <c r="M61" s="588"/>
      <c r="N61" s="587" t="s">
        <v>1219</v>
      </c>
      <c r="O61" s="626"/>
      <c r="P61" s="626"/>
      <c r="Q61" s="588"/>
      <c r="R61" s="464"/>
    </row>
    <row r="62" spans="1:18" ht="11.85" customHeight="1">
      <c r="A62" s="454" t="s">
        <v>2034</v>
      </c>
      <c r="B62" s="587" t="s">
        <v>1219</v>
      </c>
      <c r="C62" s="626"/>
      <c r="D62" s="588"/>
      <c r="E62" s="587" t="s">
        <v>1219</v>
      </c>
      <c r="F62" s="626"/>
      <c r="G62" s="588"/>
      <c r="H62" s="587" t="s">
        <v>1219</v>
      </c>
      <c r="I62" s="588"/>
      <c r="J62" s="587" t="s">
        <v>1219</v>
      </c>
      <c r="K62" s="626"/>
      <c r="L62" s="626"/>
      <c r="M62" s="588"/>
      <c r="N62" s="587" t="s">
        <v>1219</v>
      </c>
      <c r="O62" s="626"/>
      <c r="P62" s="626"/>
      <c r="Q62" s="588"/>
      <c r="R62" s="464"/>
    </row>
    <row r="63" spans="1:18" ht="11.85" customHeight="1">
      <c r="A63" s="454" t="s">
        <v>2035</v>
      </c>
      <c r="B63" s="587" t="s">
        <v>1219</v>
      </c>
      <c r="C63" s="626"/>
      <c r="D63" s="588"/>
      <c r="E63" s="587" t="s">
        <v>1219</v>
      </c>
      <c r="F63" s="626"/>
      <c r="G63" s="588"/>
      <c r="H63" s="587" t="s">
        <v>1219</v>
      </c>
      <c r="I63" s="588"/>
      <c r="J63" s="587" t="s">
        <v>1219</v>
      </c>
      <c r="K63" s="626"/>
      <c r="L63" s="626"/>
      <c r="M63" s="588"/>
      <c r="N63" s="587" t="s">
        <v>1219</v>
      </c>
      <c r="O63" s="626"/>
      <c r="P63" s="626"/>
      <c r="Q63" s="588"/>
      <c r="R63" s="464"/>
    </row>
    <row r="64" spans="1:18" ht="11.1" customHeight="1">
      <c r="A64" s="454" t="s">
        <v>2036</v>
      </c>
      <c r="B64" s="587" t="s">
        <v>1219</v>
      </c>
      <c r="C64" s="626"/>
      <c r="D64" s="588"/>
      <c r="E64" s="587" t="s">
        <v>1219</v>
      </c>
      <c r="F64" s="626"/>
      <c r="G64" s="588"/>
      <c r="H64" s="587" t="s">
        <v>1219</v>
      </c>
      <c r="I64" s="588"/>
      <c r="J64" s="587" t="s">
        <v>1219</v>
      </c>
      <c r="K64" s="626"/>
      <c r="L64" s="626"/>
      <c r="M64" s="588"/>
      <c r="N64" s="587" t="s">
        <v>1219</v>
      </c>
      <c r="O64" s="626"/>
      <c r="P64" s="626"/>
      <c r="Q64" s="588"/>
      <c r="R64" s="464"/>
    </row>
    <row r="65" spans="1:18" ht="11.85" customHeight="1">
      <c r="A65" s="454" t="s">
        <v>2037</v>
      </c>
      <c r="B65" s="587" t="s">
        <v>1219</v>
      </c>
      <c r="C65" s="626"/>
      <c r="D65" s="588"/>
      <c r="E65" s="587" t="s">
        <v>1219</v>
      </c>
      <c r="F65" s="626"/>
      <c r="G65" s="588"/>
      <c r="H65" s="587" t="s">
        <v>1219</v>
      </c>
      <c r="I65" s="588"/>
      <c r="J65" s="587" t="s">
        <v>1219</v>
      </c>
      <c r="K65" s="626"/>
      <c r="L65" s="626"/>
      <c r="M65" s="588"/>
      <c r="N65" s="587" t="s">
        <v>1219</v>
      </c>
      <c r="O65" s="626"/>
      <c r="P65" s="626"/>
      <c r="Q65" s="588"/>
      <c r="R65" s="464"/>
    </row>
    <row r="66" spans="1:18" ht="11.85" customHeight="1">
      <c r="A66" s="454" t="s">
        <v>2038</v>
      </c>
      <c r="B66" s="587" t="s">
        <v>1219</v>
      </c>
      <c r="C66" s="626"/>
      <c r="D66" s="588"/>
      <c r="E66" s="587" t="s">
        <v>1219</v>
      </c>
      <c r="F66" s="626"/>
      <c r="G66" s="588"/>
      <c r="H66" s="587" t="s">
        <v>1219</v>
      </c>
      <c r="I66" s="588"/>
      <c r="J66" s="587" t="s">
        <v>1219</v>
      </c>
      <c r="K66" s="626"/>
      <c r="L66" s="626"/>
      <c r="M66" s="588"/>
      <c r="N66" s="587" t="s">
        <v>1219</v>
      </c>
      <c r="O66" s="626"/>
      <c r="P66" s="626"/>
      <c r="Q66" s="588"/>
      <c r="R66" s="464"/>
    </row>
    <row r="67" spans="1:18" ht="11.85" customHeight="1">
      <c r="A67" s="454" t="s">
        <v>2039</v>
      </c>
      <c r="B67" s="587" t="s">
        <v>1219</v>
      </c>
      <c r="C67" s="626"/>
      <c r="D67" s="588"/>
      <c r="E67" s="587" t="s">
        <v>1219</v>
      </c>
      <c r="F67" s="626"/>
      <c r="G67" s="588"/>
      <c r="H67" s="587" t="s">
        <v>1219</v>
      </c>
      <c r="I67" s="588"/>
      <c r="J67" s="587" t="s">
        <v>1219</v>
      </c>
      <c r="K67" s="626"/>
      <c r="L67" s="626"/>
      <c r="M67" s="588"/>
      <c r="N67" s="587" t="s">
        <v>1219</v>
      </c>
      <c r="O67" s="626"/>
      <c r="P67" s="626"/>
      <c r="Q67" s="588"/>
      <c r="R67" s="464"/>
    </row>
    <row r="68" spans="1:18" ht="11.1" customHeight="1">
      <c r="A68" s="454" t="s">
        <v>2040</v>
      </c>
      <c r="B68" s="587" t="s">
        <v>1219</v>
      </c>
      <c r="C68" s="626"/>
      <c r="D68" s="588"/>
      <c r="E68" s="587" t="s">
        <v>1219</v>
      </c>
      <c r="F68" s="626"/>
      <c r="G68" s="588"/>
      <c r="H68" s="587" t="s">
        <v>1219</v>
      </c>
      <c r="I68" s="588"/>
      <c r="J68" s="587" t="s">
        <v>1219</v>
      </c>
      <c r="K68" s="626"/>
      <c r="L68" s="626"/>
      <c r="M68" s="588"/>
      <c r="N68" s="587" t="s">
        <v>1219</v>
      </c>
      <c r="O68" s="626"/>
      <c r="P68" s="626"/>
      <c r="Q68" s="588"/>
      <c r="R68" s="464"/>
    </row>
    <row r="69" spans="1:18" ht="11.85" customHeight="1">
      <c r="A69" s="456" t="s">
        <v>2041</v>
      </c>
      <c r="B69" s="592" t="s">
        <v>1219</v>
      </c>
      <c r="C69" s="627"/>
      <c r="D69" s="593"/>
      <c r="E69" s="592" t="s">
        <v>1219</v>
      </c>
      <c r="F69" s="627"/>
      <c r="G69" s="593"/>
      <c r="H69" s="592" t="s">
        <v>1219</v>
      </c>
      <c r="I69" s="593"/>
      <c r="J69" s="592" t="s">
        <v>1219</v>
      </c>
      <c r="K69" s="627"/>
      <c r="L69" s="627"/>
      <c r="M69" s="593"/>
      <c r="N69" s="592" t="s">
        <v>1219</v>
      </c>
      <c r="O69" s="627"/>
      <c r="P69" s="627"/>
      <c r="Q69" s="593"/>
      <c r="R69" s="464"/>
    </row>
    <row r="70" spans="1:18" ht="11.85" customHeight="1">
      <c r="A70" s="493" t="s">
        <v>2042</v>
      </c>
      <c r="B70" s="649" t="s">
        <v>1219</v>
      </c>
      <c r="C70" s="651"/>
      <c r="D70" s="650"/>
      <c r="E70" s="649" t="s">
        <v>1219</v>
      </c>
      <c r="F70" s="651"/>
      <c r="G70" s="650"/>
      <c r="H70" s="649" t="s">
        <v>1219</v>
      </c>
      <c r="I70" s="650"/>
      <c r="J70" s="649" t="s">
        <v>1219</v>
      </c>
      <c r="K70" s="651"/>
      <c r="L70" s="651"/>
      <c r="M70" s="650"/>
      <c r="N70" s="649" t="s">
        <v>1219</v>
      </c>
      <c r="O70" s="651"/>
      <c r="P70" s="651"/>
      <c r="Q70" s="650"/>
      <c r="R70" s="464"/>
    </row>
    <row r="71" spans="1:18" ht="11.85" customHeight="1">
      <c r="A71" s="462"/>
      <c r="B71" s="462"/>
      <c r="C71" s="462"/>
      <c r="D71" s="462"/>
      <c r="E71" s="462"/>
      <c r="F71" s="462"/>
      <c r="G71" s="462"/>
      <c r="H71" s="462"/>
      <c r="I71" s="462"/>
      <c r="J71" s="462"/>
      <c r="K71" s="462"/>
      <c r="L71" s="462"/>
      <c r="M71" s="462"/>
      <c r="N71" s="462"/>
      <c r="O71" s="462"/>
      <c r="P71" s="462"/>
      <c r="Q71" s="462"/>
    </row>
    <row r="72" spans="1:18" ht="11.1" customHeight="1">
      <c r="A72" s="611" t="s">
        <v>2043</v>
      </c>
      <c r="B72" s="612"/>
      <c r="C72" s="612"/>
      <c r="D72" s="612"/>
      <c r="E72" s="612"/>
      <c r="F72" s="612"/>
      <c r="G72" s="612"/>
      <c r="H72" s="612"/>
      <c r="I72" s="612"/>
      <c r="J72" s="612"/>
      <c r="K72" s="612"/>
      <c r="L72" s="612"/>
      <c r="M72" s="612"/>
      <c r="N72" s="612"/>
      <c r="O72" s="612"/>
      <c r="P72" s="612"/>
      <c r="Q72" s="613"/>
      <c r="R72" s="450"/>
    </row>
    <row r="73" spans="1:18" ht="35.450000000000003" customHeight="1">
      <c r="A73" s="491" t="s">
        <v>2044</v>
      </c>
      <c r="B73" s="597" t="s">
        <v>1870</v>
      </c>
      <c r="C73" s="602"/>
      <c r="D73" s="603"/>
      <c r="E73" s="597" t="s">
        <v>1871</v>
      </c>
      <c r="F73" s="602"/>
      <c r="G73" s="603"/>
      <c r="H73" s="597" t="s">
        <v>1872</v>
      </c>
      <c r="I73" s="603"/>
      <c r="J73" s="597" t="s">
        <v>2045</v>
      </c>
      <c r="K73" s="602"/>
      <c r="L73" s="602"/>
      <c r="M73" s="603"/>
      <c r="N73" s="597" t="s">
        <v>2046</v>
      </c>
      <c r="O73" s="602"/>
      <c r="P73" s="602"/>
      <c r="Q73" s="603"/>
      <c r="R73" s="450"/>
    </row>
    <row r="74" spans="1:18" ht="11.1" customHeight="1">
      <c r="A74" s="452" t="s">
        <v>2047</v>
      </c>
      <c r="B74" s="604" t="s">
        <v>1219</v>
      </c>
      <c r="C74" s="628"/>
      <c r="D74" s="605"/>
      <c r="E74" s="604" t="s">
        <v>1219</v>
      </c>
      <c r="F74" s="628"/>
      <c r="G74" s="605"/>
      <c r="H74" s="604" t="s">
        <v>1219</v>
      </c>
      <c r="I74" s="605"/>
      <c r="J74" s="604" t="s">
        <v>1219</v>
      </c>
      <c r="K74" s="628"/>
      <c r="L74" s="628"/>
      <c r="M74" s="605"/>
      <c r="N74" s="604" t="s">
        <v>1219</v>
      </c>
      <c r="O74" s="628"/>
      <c r="P74" s="628"/>
      <c r="Q74" s="605"/>
      <c r="R74" s="464"/>
    </row>
    <row r="75" spans="1:18" ht="11.85" customHeight="1">
      <c r="A75" s="454" t="s">
        <v>2048</v>
      </c>
      <c r="B75" s="587" t="s">
        <v>593</v>
      </c>
      <c r="C75" s="626"/>
      <c r="D75" s="588"/>
      <c r="E75" s="587" t="s">
        <v>593</v>
      </c>
      <c r="F75" s="626"/>
      <c r="G75" s="588"/>
      <c r="H75" s="587" t="s">
        <v>2049</v>
      </c>
      <c r="I75" s="588"/>
      <c r="J75" s="587" t="s">
        <v>1219</v>
      </c>
      <c r="K75" s="626"/>
      <c r="L75" s="626"/>
      <c r="M75" s="588"/>
      <c r="N75" s="587" t="s">
        <v>1219</v>
      </c>
      <c r="O75" s="626"/>
      <c r="P75" s="626"/>
      <c r="Q75" s="588"/>
      <c r="R75" s="464"/>
    </row>
    <row r="76" spans="1:18" ht="11.85" customHeight="1">
      <c r="A76" s="454" t="s">
        <v>2050</v>
      </c>
      <c r="B76" s="587" t="s">
        <v>1219</v>
      </c>
      <c r="C76" s="626"/>
      <c r="D76" s="588"/>
      <c r="E76" s="587" t="s">
        <v>1219</v>
      </c>
      <c r="F76" s="626"/>
      <c r="G76" s="588"/>
      <c r="H76" s="587" t="s">
        <v>1219</v>
      </c>
      <c r="I76" s="588"/>
      <c r="J76" s="587" t="s">
        <v>1219</v>
      </c>
      <c r="K76" s="626"/>
      <c r="L76" s="626"/>
      <c r="M76" s="588"/>
      <c r="N76" s="587" t="s">
        <v>1219</v>
      </c>
      <c r="O76" s="626"/>
      <c r="P76" s="626"/>
      <c r="Q76" s="588"/>
      <c r="R76" s="464"/>
    </row>
    <row r="77" spans="1:18" ht="11.85" customHeight="1">
      <c r="A77" s="454" t="s">
        <v>2051</v>
      </c>
      <c r="B77" s="587" t="s">
        <v>1219</v>
      </c>
      <c r="C77" s="626"/>
      <c r="D77" s="588"/>
      <c r="E77" s="587" t="s">
        <v>1219</v>
      </c>
      <c r="F77" s="626"/>
      <c r="G77" s="588"/>
      <c r="H77" s="587" t="s">
        <v>1219</v>
      </c>
      <c r="I77" s="588"/>
      <c r="J77" s="587" t="s">
        <v>1219</v>
      </c>
      <c r="K77" s="626"/>
      <c r="L77" s="626"/>
      <c r="M77" s="588"/>
      <c r="N77" s="587" t="s">
        <v>1219</v>
      </c>
      <c r="O77" s="626"/>
      <c r="P77" s="626"/>
      <c r="Q77" s="588"/>
      <c r="R77" s="464"/>
    </row>
    <row r="78" spans="1:18" ht="11.1" customHeight="1">
      <c r="A78" s="454" t="s">
        <v>2052</v>
      </c>
      <c r="B78" s="587" t="s">
        <v>1219</v>
      </c>
      <c r="C78" s="626"/>
      <c r="D78" s="588"/>
      <c r="E78" s="587" t="s">
        <v>1219</v>
      </c>
      <c r="F78" s="626"/>
      <c r="G78" s="588"/>
      <c r="H78" s="587" t="s">
        <v>1219</v>
      </c>
      <c r="I78" s="588"/>
      <c r="J78" s="587" t="s">
        <v>1219</v>
      </c>
      <c r="K78" s="626"/>
      <c r="L78" s="626"/>
      <c r="M78" s="588"/>
      <c r="N78" s="587" t="s">
        <v>1219</v>
      </c>
      <c r="O78" s="626"/>
      <c r="P78" s="626"/>
      <c r="Q78" s="588"/>
      <c r="R78" s="464"/>
    </row>
    <row r="79" spans="1:18" ht="11.85" customHeight="1">
      <c r="A79" s="456" t="s">
        <v>2053</v>
      </c>
      <c r="B79" s="592" t="s">
        <v>1219</v>
      </c>
      <c r="C79" s="627"/>
      <c r="D79" s="593"/>
      <c r="E79" s="592" t="s">
        <v>1219</v>
      </c>
      <c r="F79" s="627"/>
      <c r="G79" s="593"/>
      <c r="H79" s="592" t="s">
        <v>1219</v>
      </c>
      <c r="I79" s="593"/>
      <c r="J79" s="592" t="s">
        <v>1219</v>
      </c>
      <c r="K79" s="627"/>
      <c r="L79" s="627"/>
      <c r="M79" s="593"/>
      <c r="N79" s="592" t="s">
        <v>1219</v>
      </c>
      <c r="O79" s="627"/>
      <c r="P79" s="627"/>
      <c r="Q79" s="593"/>
      <c r="R79" s="464"/>
    </row>
    <row r="80" spans="1:18" ht="11.85" customHeight="1">
      <c r="A80" s="469"/>
      <c r="B80" s="469"/>
      <c r="C80" s="469"/>
      <c r="D80" s="469"/>
      <c r="E80" s="469"/>
      <c r="F80" s="469"/>
      <c r="G80" s="469"/>
      <c r="H80" s="469"/>
      <c r="I80" s="469"/>
      <c r="J80" s="469"/>
      <c r="K80" s="469"/>
      <c r="L80" s="469"/>
      <c r="M80" s="469"/>
      <c r="N80" s="469"/>
      <c r="O80" s="469"/>
      <c r="P80" s="469"/>
      <c r="Q80" s="469"/>
    </row>
    <row r="81" spans="1:18" ht="34.700000000000003" customHeight="1"/>
    <row r="82" spans="1:18" ht="11.85" customHeight="1">
      <c r="A82" s="615" t="s">
        <v>1332</v>
      </c>
      <c r="B82" s="615"/>
      <c r="C82" s="615"/>
      <c r="Q82" s="448" t="s">
        <v>1910</v>
      </c>
    </row>
    <row r="83" spans="1:18" ht="11.1" customHeight="1">
      <c r="A83" s="615" t="s">
        <v>1818</v>
      </c>
      <c r="B83" s="615"/>
      <c r="C83" s="615"/>
    </row>
    <row r="84" spans="1:18" ht="11.85" customHeight="1">
      <c r="A84" s="619" t="s">
        <v>1961</v>
      </c>
      <c r="B84" s="619"/>
      <c r="C84" s="619"/>
      <c r="D84" s="619"/>
      <c r="E84" s="619"/>
      <c r="F84" s="619"/>
      <c r="G84" s="619"/>
      <c r="H84" s="619"/>
      <c r="I84" s="619"/>
      <c r="J84" s="619"/>
      <c r="K84" s="619"/>
      <c r="L84" s="619"/>
    </row>
    <row r="85" spans="1:18" ht="11.85" customHeight="1">
      <c r="A85" s="615" t="s">
        <v>1820</v>
      </c>
      <c r="B85" s="615"/>
      <c r="C85" s="615"/>
    </row>
    <row r="86" spans="1:18" ht="11.85" customHeight="1">
      <c r="A86" s="615" t="s">
        <v>1209</v>
      </c>
      <c r="B86" s="615"/>
      <c r="C86" s="615"/>
    </row>
    <row r="87" spans="1:18" ht="5.85" customHeight="1"/>
    <row r="88" spans="1:18" ht="11.1" customHeight="1">
      <c r="A88" s="616" t="s">
        <v>1962</v>
      </c>
      <c r="B88" s="616"/>
      <c r="C88" s="616"/>
      <c r="D88" s="449"/>
      <c r="E88" s="449"/>
      <c r="F88" s="449"/>
      <c r="G88" s="449"/>
      <c r="H88" s="449"/>
      <c r="I88" s="449"/>
      <c r="J88" s="449"/>
      <c r="K88" s="449"/>
      <c r="L88" s="654" t="s">
        <v>1211</v>
      </c>
      <c r="M88" s="654"/>
      <c r="N88" s="654"/>
      <c r="O88" s="654"/>
      <c r="P88" s="654"/>
      <c r="Q88" s="654"/>
    </row>
    <row r="89" spans="1:18" ht="29.65" customHeight="1">
      <c r="A89" s="491" t="s">
        <v>2054</v>
      </c>
      <c r="B89" s="597" t="s">
        <v>2055</v>
      </c>
      <c r="C89" s="602"/>
      <c r="D89" s="602"/>
      <c r="E89" s="603"/>
      <c r="F89" s="597" t="s">
        <v>2056</v>
      </c>
      <c r="G89" s="602"/>
      <c r="H89" s="603"/>
      <c r="I89" s="597" t="s">
        <v>2057</v>
      </c>
      <c r="J89" s="602"/>
      <c r="K89" s="602"/>
      <c r="L89" s="602"/>
      <c r="M89" s="602"/>
      <c r="N89" s="603"/>
      <c r="O89" s="597" t="s">
        <v>2058</v>
      </c>
      <c r="P89" s="602"/>
      <c r="Q89" s="603"/>
      <c r="R89" s="450"/>
    </row>
    <row r="90" spans="1:18" ht="11.1" customHeight="1">
      <c r="A90" s="452" t="s">
        <v>2059</v>
      </c>
      <c r="B90" s="604" t="s">
        <v>2060</v>
      </c>
      <c r="C90" s="628"/>
      <c r="D90" s="628"/>
      <c r="E90" s="605"/>
      <c r="F90" s="604" t="s">
        <v>1219</v>
      </c>
      <c r="G90" s="628"/>
      <c r="H90" s="605"/>
      <c r="I90" s="604" t="s">
        <v>1219</v>
      </c>
      <c r="J90" s="628"/>
      <c r="K90" s="628"/>
      <c r="L90" s="628"/>
      <c r="M90" s="628"/>
      <c r="N90" s="605"/>
      <c r="O90" s="604" t="s">
        <v>1219</v>
      </c>
      <c r="P90" s="628"/>
      <c r="Q90" s="605"/>
      <c r="R90" s="464"/>
    </row>
    <row r="91" spans="1:18" ht="11.85" customHeight="1">
      <c r="A91" s="454" t="s">
        <v>2061</v>
      </c>
      <c r="B91" s="587" t="s">
        <v>1219</v>
      </c>
      <c r="C91" s="626"/>
      <c r="D91" s="626"/>
      <c r="E91" s="588"/>
      <c r="F91" s="587" t="s">
        <v>1219</v>
      </c>
      <c r="G91" s="626"/>
      <c r="H91" s="588"/>
      <c r="I91" s="587" t="s">
        <v>1219</v>
      </c>
      <c r="J91" s="626"/>
      <c r="K91" s="626"/>
      <c r="L91" s="626"/>
      <c r="M91" s="626"/>
      <c r="N91" s="588"/>
      <c r="O91" s="587" t="s">
        <v>1219</v>
      </c>
      <c r="P91" s="626"/>
      <c r="Q91" s="588"/>
      <c r="R91" s="464"/>
    </row>
    <row r="92" spans="1:18" ht="11.85" customHeight="1">
      <c r="A92" s="456" t="s">
        <v>2062</v>
      </c>
      <c r="B92" s="592" t="s">
        <v>1219</v>
      </c>
      <c r="C92" s="627"/>
      <c r="D92" s="627"/>
      <c r="E92" s="593"/>
      <c r="F92" s="592" t="s">
        <v>1219</v>
      </c>
      <c r="G92" s="627"/>
      <c r="H92" s="593"/>
      <c r="I92" s="592" t="s">
        <v>1219</v>
      </c>
      <c r="J92" s="627"/>
      <c r="K92" s="627"/>
      <c r="L92" s="627"/>
      <c r="M92" s="627"/>
      <c r="N92" s="593"/>
      <c r="O92" s="592" t="s">
        <v>1219</v>
      </c>
      <c r="P92" s="627"/>
      <c r="Q92" s="593"/>
      <c r="R92" s="464"/>
    </row>
    <row r="93" spans="1:18" ht="11.85" customHeight="1">
      <c r="A93" s="462"/>
      <c r="B93" s="462"/>
      <c r="C93" s="462"/>
      <c r="D93" s="462"/>
      <c r="E93" s="462"/>
      <c r="F93" s="462"/>
      <c r="G93" s="462"/>
      <c r="H93" s="462"/>
      <c r="I93" s="462"/>
      <c r="J93" s="462"/>
      <c r="K93" s="462"/>
      <c r="L93" s="462"/>
      <c r="M93" s="462"/>
      <c r="N93" s="462"/>
      <c r="O93" s="462"/>
      <c r="P93" s="462"/>
      <c r="Q93" s="462"/>
    </row>
    <row r="94" spans="1:18" ht="28.9" customHeight="1">
      <c r="A94" s="491" t="s">
        <v>2063</v>
      </c>
      <c r="B94" s="597" t="s">
        <v>2064</v>
      </c>
      <c r="C94" s="602"/>
      <c r="D94" s="602"/>
      <c r="E94" s="603"/>
      <c r="F94" s="597" t="s">
        <v>2065</v>
      </c>
      <c r="G94" s="602"/>
      <c r="H94" s="603"/>
      <c r="I94" s="597" t="s">
        <v>2066</v>
      </c>
      <c r="J94" s="602"/>
      <c r="K94" s="602"/>
      <c r="L94" s="602"/>
      <c r="M94" s="602"/>
      <c r="N94" s="603"/>
      <c r="O94" s="597" t="s">
        <v>2067</v>
      </c>
      <c r="P94" s="602"/>
      <c r="Q94" s="603"/>
      <c r="R94" s="450"/>
    </row>
    <row r="95" spans="1:18" ht="11.85" customHeight="1">
      <c r="A95" s="458" t="s">
        <v>2068</v>
      </c>
      <c r="B95" s="623" t="s">
        <v>2069</v>
      </c>
      <c r="C95" s="625"/>
      <c r="D95" s="625"/>
      <c r="E95" s="624"/>
      <c r="F95" s="623" t="s">
        <v>2070</v>
      </c>
      <c r="G95" s="625"/>
      <c r="H95" s="624"/>
      <c r="I95" s="623" t="s">
        <v>2070</v>
      </c>
      <c r="J95" s="625"/>
      <c r="K95" s="625"/>
      <c r="L95" s="625"/>
      <c r="M95" s="625"/>
      <c r="N95" s="624"/>
      <c r="O95" s="623">
        <v>12.69</v>
      </c>
      <c r="P95" s="625"/>
      <c r="Q95" s="624"/>
      <c r="R95" s="464"/>
    </row>
    <row r="96" spans="1:18" ht="11.85" customHeight="1">
      <c r="A96" s="462"/>
      <c r="B96" s="462"/>
      <c r="C96" s="462"/>
      <c r="D96" s="462"/>
      <c r="E96" s="462"/>
      <c r="F96" s="462"/>
      <c r="G96" s="462"/>
      <c r="H96" s="462"/>
      <c r="I96" s="462"/>
      <c r="J96" s="462"/>
      <c r="K96" s="462"/>
      <c r="L96" s="462"/>
      <c r="M96" s="462"/>
      <c r="N96" s="462"/>
      <c r="O96" s="462"/>
      <c r="P96" s="462"/>
      <c r="Q96" s="462"/>
    </row>
    <row r="97" spans="1:18" ht="46.7" customHeight="1">
      <c r="A97" s="491" t="s">
        <v>2071</v>
      </c>
      <c r="B97" s="451" t="s">
        <v>2072</v>
      </c>
      <c r="C97" s="597" t="s">
        <v>2073</v>
      </c>
      <c r="D97" s="602"/>
      <c r="E97" s="602"/>
      <c r="F97" s="603"/>
      <c r="G97" s="597" t="s">
        <v>2074</v>
      </c>
      <c r="H97" s="603"/>
      <c r="I97" s="597" t="s">
        <v>2075</v>
      </c>
      <c r="J97" s="603"/>
      <c r="K97" s="597" t="s">
        <v>2076</v>
      </c>
      <c r="L97" s="602"/>
      <c r="M97" s="602"/>
      <c r="N97" s="602"/>
      <c r="O97" s="603"/>
      <c r="P97" s="597" t="s">
        <v>2077</v>
      </c>
      <c r="Q97" s="603"/>
      <c r="R97" s="450"/>
    </row>
    <row r="98" spans="1:18" ht="11.1" customHeight="1">
      <c r="A98" s="452" t="s">
        <v>2078</v>
      </c>
      <c r="B98" s="463" t="s">
        <v>1219</v>
      </c>
      <c r="C98" s="604" t="s">
        <v>1219</v>
      </c>
      <c r="D98" s="628"/>
      <c r="E98" s="628"/>
      <c r="F98" s="605"/>
      <c r="G98" s="604" t="s">
        <v>1219</v>
      </c>
      <c r="H98" s="605"/>
      <c r="I98" s="604" t="s">
        <v>1219</v>
      </c>
      <c r="J98" s="605"/>
      <c r="K98" s="604" t="s">
        <v>1219</v>
      </c>
      <c r="L98" s="628"/>
      <c r="M98" s="628"/>
      <c r="N98" s="628"/>
      <c r="O98" s="605"/>
      <c r="P98" s="604" t="s">
        <v>1219</v>
      </c>
      <c r="Q98" s="605"/>
      <c r="R98" s="464"/>
    </row>
    <row r="99" spans="1:18" ht="11.85" customHeight="1">
      <c r="A99" s="454" t="s">
        <v>2079</v>
      </c>
      <c r="B99" s="465" t="s">
        <v>1219</v>
      </c>
      <c r="C99" s="587" t="s">
        <v>1219</v>
      </c>
      <c r="D99" s="626"/>
      <c r="E99" s="626"/>
      <c r="F99" s="588"/>
      <c r="G99" s="587" t="s">
        <v>1219</v>
      </c>
      <c r="H99" s="588"/>
      <c r="I99" s="587" t="s">
        <v>1219</v>
      </c>
      <c r="J99" s="588"/>
      <c r="K99" s="587" t="s">
        <v>1219</v>
      </c>
      <c r="L99" s="626"/>
      <c r="M99" s="626"/>
      <c r="N99" s="626"/>
      <c r="O99" s="588"/>
      <c r="P99" s="587" t="s">
        <v>1219</v>
      </c>
      <c r="Q99" s="588"/>
      <c r="R99" s="464"/>
    </row>
    <row r="100" spans="1:18" ht="11.85" customHeight="1">
      <c r="A100" s="456" t="s">
        <v>2080</v>
      </c>
      <c r="B100" s="466" t="s">
        <v>1219</v>
      </c>
      <c r="C100" s="592" t="s">
        <v>1219</v>
      </c>
      <c r="D100" s="627"/>
      <c r="E100" s="627"/>
      <c r="F100" s="593"/>
      <c r="G100" s="592" t="s">
        <v>1219</v>
      </c>
      <c r="H100" s="593"/>
      <c r="I100" s="592" t="s">
        <v>1219</v>
      </c>
      <c r="J100" s="593"/>
      <c r="K100" s="592" t="s">
        <v>1219</v>
      </c>
      <c r="L100" s="627"/>
      <c r="M100" s="627"/>
      <c r="N100" s="627"/>
      <c r="O100" s="593"/>
      <c r="P100" s="592" t="s">
        <v>1219</v>
      </c>
      <c r="Q100" s="593"/>
      <c r="R100" s="464"/>
    </row>
    <row r="101" spans="1:18" ht="11.85" customHeight="1">
      <c r="A101" s="462"/>
      <c r="B101" s="462"/>
      <c r="C101" s="462"/>
      <c r="D101" s="462"/>
      <c r="E101" s="462"/>
      <c r="F101" s="462"/>
      <c r="G101" s="462"/>
      <c r="H101" s="462"/>
      <c r="I101" s="462"/>
      <c r="J101" s="462"/>
      <c r="K101" s="462"/>
      <c r="L101" s="462"/>
      <c r="M101" s="462"/>
      <c r="N101" s="462"/>
      <c r="O101" s="462"/>
      <c r="P101" s="462"/>
      <c r="Q101" s="462"/>
    </row>
    <row r="102" spans="1:18" ht="11.1" customHeight="1">
      <c r="A102" s="611" t="s">
        <v>2081</v>
      </c>
      <c r="B102" s="612"/>
      <c r="C102" s="612"/>
      <c r="D102" s="612"/>
      <c r="E102" s="612"/>
      <c r="F102" s="612"/>
      <c r="G102" s="612"/>
      <c r="H102" s="612"/>
      <c r="I102" s="612"/>
      <c r="J102" s="612"/>
      <c r="K102" s="612"/>
      <c r="L102" s="612"/>
      <c r="M102" s="612"/>
      <c r="N102" s="612"/>
      <c r="O102" s="612"/>
      <c r="P102" s="612"/>
      <c r="Q102" s="613"/>
      <c r="R102" s="450"/>
    </row>
    <row r="103" spans="1:18" ht="35.450000000000003" customHeight="1">
      <c r="A103" s="451" t="s">
        <v>2082</v>
      </c>
      <c r="B103" s="597" t="s">
        <v>1869</v>
      </c>
      <c r="C103" s="602"/>
      <c r="D103" s="603"/>
      <c r="E103" s="597" t="s">
        <v>1870</v>
      </c>
      <c r="F103" s="602"/>
      <c r="G103" s="603"/>
      <c r="H103" s="597" t="s">
        <v>1871</v>
      </c>
      <c r="I103" s="603"/>
      <c r="J103" s="597" t="s">
        <v>1872</v>
      </c>
      <c r="K103" s="602"/>
      <c r="L103" s="602"/>
      <c r="M103" s="603"/>
      <c r="N103" s="597" t="s">
        <v>2031</v>
      </c>
      <c r="O103" s="602"/>
      <c r="P103" s="602"/>
      <c r="Q103" s="603"/>
      <c r="R103" s="450"/>
    </row>
    <row r="104" spans="1:18" ht="11.1" customHeight="1">
      <c r="A104" s="452" t="s">
        <v>2083</v>
      </c>
      <c r="B104" s="604" t="s">
        <v>2084</v>
      </c>
      <c r="C104" s="628"/>
      <c r="D104" s="605"/>
      <c r="E104" s="604" t="s">
        <v>2085</v>
      </c>
      <c r="F104" s="628"/>
      <c r="G104" s="605"/>
      <c r="H104" s="604" t="s">
        <v>2086</v>
      </c>
      <c r="I104" s="605"/>
      <c r="J104" s="604" t="s">
        <v>2087</v>
      </c>
      <c r="K104" s="628"/>
      <c r="L104" s="628"/>
      <c r="M104" s="605"/>
      <c r="N104" s="604" t="s">
        <v>1219</v>
      </c>
      <c r="O104" s="628"/>
      <c r="P104" s="628"/>
      <c r="Q104" s="605"/>
      <c r="R104" s="464"/>
    </row>
    <row r="105" spans="1:18" ht="11.85" customHeight="1">
      <c r="A105" s="454" t="s">
        <v>2088</v>
      </c>
      <c r="B105" s="587" t="s">
        <v>2089</v>
      </c>
      <c r="C105" s="626"/>
      <c r="D105" s="588"/>
      <c r="E105" s="587" t="s">
        <v>2090</v>
      </c>
      <c r="F105" s="626"/>
      <c r="G105" s="588"/>
      <c r="H105" s="587" t="s">
        <v>2091</v>
      </c>
      <c r="I105" s="588"/>
      <c r="J105" s="587" t="s">
        <v>2092</v>
      </c>
      <c r="K105" s="626"/>
      <c r="L105" s="626"/>
      <c r="M105" s="588"/>
      <c r="N105" s="587" t="s">
        <v>1219</v>
      </c>
      <c r="O105" s="626"/>
      <c r="P105" s="626"/>
      <c r="Q105" s="588"/>
      <c r="R105" s="464"/>
    </row>
    <row r="106" spans="1:18" ht="11.85" customHeight="1">
      <c r="A106" s="454" t="s">
        <v>2093</v>
      </c>
      <c r="B106" s="587" t="s">
        <v>2094</v>
      </c>
      <c r="C106" s="626"/>
      <c r="D106" s="588"/>
      <c r="E106" s="587" t="s">
        <v>2095</v>
      </c>
      <c r="F106" s="626"/>
      <c r="G106" s="588"/>
      <c r="H106" s="587" t="s">
        <v>2095</v>
      </c>
      <c r="I106" s="588"/>
      <c r="J106" s="587" t="s">
        <v>2096</v>
      </c>
      <c r="K106" s="626"/>
      <c r="L106" s="626"/>
      <c r="M106" s="588"/>
      <c r="N106" s="587" t="s">
        <v>1219</v>
      </c>
      <c r="O106" s="626"/>
      <c r="P106" s="626"/>
      <c r="Q106" s="588"/>
      <c r="R106" s="464"/>
    </row>
    <row r="107" spans="1:18" ht="11.85" customHeight="1">
      <c r="A107" s="456" t="s">
        <v>2097</v>
      </c>
      <c r="B107" s="592" t="s">
        <v>2098</v>
      </c>
      <c r="C107" s="627"/>
      <c r="D107" s="593"/>
      <c r="E107" s="592" t="s">
        <v>2099</v>
      </c>
      <c r="F107" s="627"/>
      <c r="G107" s="593"/>
      <c r="H107" s="592" t="s">
        <v>2100</v>
      </c>
      <c r="I107" s="593"/>
      <c r="J107" s="592" t="s">
        <v>2101</v>
      </c>
      <c r="K107" s="627"/>
      <c r="L107" s="627"/>
      <c r="M107" s="593"/>
      <c r="N107" s="592" t="s">
        <v>1219</v>
      </c>
      <c r="O107" s="627"/>
      <c r="P107" s="627"/>
      <c r="Q107" s="593"/>
      <c r="R107" s="464"/>
    </row>
    <row r="108" spans="1:18" ht="11.1" customHeight="1">
      <c r="A108" s="493" t="s">
        <v>2102</v>
      </c>
      <c r="B108" s="649" t="s">
        <v>2103</v>
      </c>
      <c r="C108" s="651"/>
      <c r="D108" s="650"/>
      <c r="E108" s="649" t="s">
        <v>932</v>
      </c>
      <c r="F108" s="651"/>
      <c r="G108" s="650"/>
      <c r="H108" s="649" t="s">
        <v>585</v>
      </c>
      <c r="I108" s="650"/>
      <c r="J108" s="649" t="s">
        <v>2104</v>
      </c>
      <c r="K108" s="651"/>
      <c r="L108" s="651"/>
      <c r="M108" s="650"/>
      <c r="N108" s="649" t="s">
        <v>1219</v>
      </c>
      <c r="O108" s="651"/>
      <c r="P108" s="651"/>
      <c r="Q108" s="650"/>
      <c r="R108" s="464"/>
    </row>
    <row r="109" spans="1:18" ht="11.85" customHeight="1">
      <c r="A109" s="462"/>
      <c r="B109" s="462"/>
      <c r="C109" s="462"/>
      <c r="D109" s="462"/>
      <c r="E109" s="462"/>
      <c r="F109" s="462"/>
      <c r="G109" s="462"/>
      <c r="H109" s="462"/>
      <c r="I109" s="462"/>
      <c r="J109" s="462"/>
      <c r="K109" s="462"/>
      <c r="L109" s="462"/>
      <c r="M109" s="462"/>
      <c r="N109" s="462"/>
      <c r="O109" s="462"/>
      <c r="P109" s="462"/>
      <c r="Q109" s="462"/>
    </row>
    <row r="110" spans="1:18" ht="17.850000000000001" customHeight="1">
      <c r="A110" s="611" t="s">
        <v>2105</v>
      </c>
      <c r="B110" s="612"/>
      <c r="C110" s="612"/>
      <c r="D110" s="612"/>
      <c r="E110" s="612"/>
      <c r="F110" s="612"/>
      <c r="G110" s="612"/>
      <c r="H110" s="612"/>
      <c r="I110" s="612"/>
      <c r="J110" s="612"/>
      <c r="K110" s="612"/>
      <c r="L110" s="612"/>
      <c r="M110" s="613"/>
      <c r="N110" s="611" t="s">
        <v>1310</v>
      </c>
      <c r="O110" s="612"/>
      <c r="P110" s="612"/>
      <c r="Q110" s="613"/>
      <c r="R110" s="450"/>
    </row>
    <row r="111" spans="1:18" ht="11.1" customHeight="1">
      <c r="A111" s="683" t="s">
        <v>2106</v>
      </c>
      <c r="B111" s="652"/>
      <c r="C111" s="652"/>
      <c r="D111" s="652"/>
      <c r="E111" s="652"/>
      <c r="F111" s="652"/>
      <c r="G111" s="652"/>
      <c r="H111" s="652"/>
      <c r="I111" s="652"/>
      <c r="J111" s="652"/>
      <c r="K111" s="652"/>
      <c r="L111" s="652"/>
      <c r="M111" s="684"/>
      <c r="N111" s="604" t="s">
        <v>2107</v>
      </c>
      <c r="O111" s="628"/>
      <c r="P111" s="628"/>
      <c r="Q111" s="605"/>
      <c r="R111" s="464"/>
    </row>
    <row r="112" spans="1:18" ht="11.85" customHeight="1">
      <c r="A112" s="674" t="s">
        <v>2108</v>
      </c>
      <c r="B112" s="675"/>
      <c r="C112" s="675"/>
      <c r="D112" s="675"/>
      <c r="E112" s="675"/>
      <c r="F112" s="675"/>
      <c r="G112" s="675"/>
      <c r="H112" s="675"/>
      <c r="I112" s="675"/>
      <c r="J112" s="675"/>
      <c r="K112" s="675"/>
      <c r="L112" s="675"/>
      <c r="M112" s="676"/>
      <c r="N112" s="587" t="s">
        <v>2024</v>
      </c>
      <c r="O112" s="626"/>
      <c r="P112" s="626"/>
      <c r="Q112" s="588"/>
      <c r="R112" s="464"/>
    </row>
    <row r="113" spans="1:18" ht="11.85" customHeight="1">
      <c r="A113" s="674" t="s">
        <v>2109</v>
      </c>
      <c r="B113" s="675"/>
      <c r="C113" s="675"/>
      <c r="D113" s="675"/>
      <c r="E113" s="675"/>
      <c r="F113" s="675"/>
      <c r="G113" s="675"/>
      <c r="H113" s="675"/>
      <c r="I113" s="675"/>
      <c r="J113" s="675"/>
      <c r="K113" s="675"/>
      <c r="L113" s="675"/>
      <c r="M113" s="676"/>
      <c r="N113" s="587" t="s">
        <v>1219</v>
      </c>
      <c r="O113" s="626"/>
      <c r="P113" s="626"/>
      <c r="Q113" s="588"/>
      <c r="R113" s="464"/>
    </row>
    <row r="114" spans="1:18" ht="11.85" customHeight="1">
      <c r="A114" s="674" t="s">
        <v>2110</v>
      </c>
      <c r="B114" s="675"/>
      <c r="C114" s="675"/>
      <c r="D114" s="675"/>
      <c r="E114" s="675"/>
      <c r="F114" s="675"/>
      <c r="G114" s="675"/>
      <c r="H114" s="675"/>
      <c r="I114" s="675"/>
      <c r="J114" s="675"/>
      <c r="K114" s="675"/>
      <c r="L114" s="675"/>
      <c r="M114" s="676"/>
      <c r="N114" s="587" t="s">
        <v>1219</v>
      </c>
      <c r="O114" s="626"/>
      <c r="P114" s="626"/>
      <c r="Q114" s="588"/>
      <c r="R114" s="464"/>
    </row>
    <row r="115" spans="1:18" ht="11.1" customHeight="1">
      <c r="A115" s="677" t="s">
        <v>2111</v>
      </c>
      <c r="B115" s="678"/>
      <c r="C115" s="678"/>
      <c r="D115" s="678"/>
      <c r="E115" s="678"/>
      <c r="F115" s="678"/>
      <c r="G115" s="678"/>
      <c r="H115" s="678"/>
      <c r="I115" s="678"/>
      <c r="J115" s="678"/>
      <c r="K115" s="678"/>
      <c r="L115" s="678"/>
      <c r="M115" s="679"/>
      <c r="N115" s="592" t="s">
        <v>2112</v>
      </c>
      <c r="O115" s="627"/>
      <c r="P115" s="627"/>
      <c r="Q115" s="593"/>
      <c r="R115" s="464"/>
    </row>
    <row r="116" spans="1:18" ht="11.85" customHeight="1">
      <c r="A116" s="680" t="s">
        <v>2113</v>
      </c>
      <c r="B116" s="681"/>
      <c r="C116" s="681"/>
      <c r="D116" s="681"/>
      <c r="E116" s="681"/>
      <c r="F116" s="681"/>
      <c r="G116" s="681"/>
      <c r="H116" s="681"/>
      <c r="I116" s="681"/>
      <c r="J116" s="681"/>
      <c r="K116" s="681"/>
      <c r="L116" s="681"/>
      <c r="M116" s="682"/>
      <c r="N116" s="649" t="s">
        <v>2114</v>
      </c>
      <c r="O116" s="651"/>
      <c r="P116" s="651"/>
      <c r="Q116" s="650"/>
      <c r="R116" s="464"/>
    </row>
    <row r="117" spans="1:18" ht="11.85" customHeight="1">
      <c r="A117" s="462"/>
      <c r="B117" s="462"/>
      <c r="C117" s="462"/>
      <c r="D117" s="462"/>
      <c r="E117" s="462"/>
      <c r="F117" s="462"/>
      <c r="G117" s="462"/>
      <c r="H117" s="462"/>
      <c r="I117" s="462"/>
      <c r="J117" s="462"/>
      <c r="K117" s="462"/>
      <c r="L117" s="462"/>
      <c r="M117" s="462"/>
      <c r="N117" s="462"/>
      <c r="O117" s="462"/>
      <c r="P117" s="462"/>
      <c r="Q117" s="462"/>
    </row>
    <row r="118" spans="1:18" ht="17.850000000000001" customHeight="1">
      <c r="A118" s="491" t="s">
        <v>2115</v>
      </c>
      <c r="B118" s="597" t="s">
        <v>2116</v>
      </c>
      <c r="C118" s="602"/>
      <c r="D118" s="602"/>
      <c r="E118" s="602"/>
      <c r="F118" s="602"/>
      <c r="G118" s="603"/>
      <c r="H118" s="597" t="s">
        <v>2117</v>
      </c>
      <c r="I118" s="602"/>
      <c r="J118" s="602"/>
      <c r="K118" s="602"/>
      <c r="L118" s="602"/>
      <c r="M118" s="603"/>
      <c r="N118" s="597" t="s">
        <v>2118</v>
      </c>
      <c r="O118" s="602"/>
      <c r="P118" s="602"/>
      <c r="Q118" s="603"/>
      <c r="R118" s="450"/>
    </row>
    <row r="119" spans="1:18" ht="11.1" customHeight="1">
      <c r="A119" s="458" t="s">
        <v>2119</v>
      </c>
      <c r="B119" s="623" t="s">
        <v>2120</v>
      </c>
      <c r="C119" s="625"/>
      <c r="D119" s="625"/>
      <c r="E119" s="625"/>
      <c r="F119" s="625"/>
      <c r="G119" s="624"/>
      <c r="H119" s="623" t="s">
        <v>2114</v>
      </c>
      <c r="I119" s="625"/>
      <c r="J119" s="625"/>
      <c r="K119" s="625"/>
      <c r="L119" s="625"/>
      <c r="M119" s="624"/>
      <c r="N119" s="623">
        <v>22.61</v>
      </c>
      <c r="O119" s="625"/>
      <c r="P119" s="625"/>
      <c r="Q119" s="624"/>
      <c r="R119" s="464"/>
    </row>
    <row r="120" spans="1:18" ht="11.85" customHeight="1">
      <c r="A120" s="469"/>
      <c r="B120" s="469"/>
      <c r="C120" s="469"/>
      <c r="D120" s="469"/>
      <c r="E120" s="469"/>
      <c r="F120" s="469"/>
      <c r="G120" s="469"/>
      <c r="H120" s="469"/>
      <c r="I120" s="469"/>
      <c r="J120" s="469"/>
      <c r="K120" s="469"/>
      <c r="L120" s="469"/>
      <c r="M120" s="469"/>
      <c r="N120" s="469"/>
      <c r="O120" s="469"/>
      <c r="P120" s="469"/>
      <c r="Q120" s="469"/>
    </row>
    <row r="121" spans="1:18" ht="11.85" customHeight="1">
      <c r="A121" s="615" t="s">
        <v>1332</v>
      </c>
      <c r="B121" s="615"/>
      <c r="C121" s="615"/>
      <c r="Q121" s="448" t="s">
        <v>1921</v>
      </c>
    </row>
    <row r="122" spans="1:18" ht="11.1" customHeight="1">
      <c r="A122" s="615" t="s">
        <v>1818</v>
      </c>
      <c r="B122" s="615"/>
      <c r="C122" s="615"/>
    </row>
    <row r="123" spans="1:18" ht="11.85" customHeight="1">
      <c r="A123" s="619" t="s">
        <v>1961</v>
      </c>
      <c r="B123" s="619"/>
      <c r="C123" s="619"/>
      <c r="D123" s="619"/>
      <c r="E123" s="619"/>
      <c r="F123" s="619"/>
      <c r="G123" s="619"/>
      <c r="H123" s="619"/>
      <c r="I123" s="619"/>
      <c r="J123" s="619"/>
      <c r="K123" s="619"/>
      <c r="L123" s="619"/>
    </row>
    <row r="124" spans="1:18" ht="11.85" customHeight="1">
      <c r="A124" s="615" t="s">
        <v>1820</v>
      </c>
      <c r="B124" s="615"/>
      <c r="C124" s="615"/>
    </row>
    <row r="125" spans="1:18" ht="11.85" customHeight="1">
      <c r="A125" s="615" t="s">
        <v>1209</v>
      </c>
      <c r="B125" s="615"/>
      <c r="C125" s="615"/>
    </row>
    <row r="126" spans="1:18" ht="5.85" customHeight="1"/>
    <row r="127" spans="1:18" ht="11.1" customHeight="1">
      <c r="A127" s="616" t="s">
        <v>1962</v>
      </c>
      <c r="B127" s="616"/>
      <c r="C127" s="616"/>
      <c r="D127" s="449"/>
      <c r="E127" s="449"/>
      <c r="F127" s="449"/>
      <c r="G127" s="449"/>
      <c r="H127" s="449"/>
      <c r="I127" s="449"/>
      <c r="J127" s="449"/>
      <c r="K127" s="449"/>
      <c r="L127" s="654" t="s">
        <v>1211</v>
      </c>
      <c r="M127" s="654"/>
      <c r="N127" s="654"/>
      <c r="O127" s="654"/>
      <c r="P127" s="654"/>
      <c r="Q127" s="654"/>
    </row>
    <row r="128" spans="1:18" ht="29.65" customHeight="1">
      <c r="A128" s="451" t="s">
        <v>2121</v>
      </c>
      <c r="B128" s="597" t="s">
        <v>2122</v>
      </c>
      <c r="C128" s="602"/>
      <c r="D128" s="603"/>
      <c r="E128" s="597" t="s">
        <v>2123</v>
      </c>
      <c r="F128" s="602"/>
      <c r="G128" s="603"/>
      <c r="H128" s="597" t="s">
        <v>2124</v>
      </c>
      <c r="I128" s="603"/>
      <c r="J128" s="597" t="s">
        <v>2125</v>
      </c>
      <c r="K128" s="602"/>
      <c r="L128" s="602"/>
      <c r="M128" s="603"/>
      <c r="N128" s="597" t="s">
        <v>2126</v>
      </c>
      <c r="O128" s="602"/>
      <c r="P128" s="602"/>
      <c r="Q128" s="603"/>
      <c r="R128" s="450"/>
    </row>
    <row r="129" spans="1:18" ht="11.1" customHeight="1">
      <c r="A129" s="452" t="s">
        <v>2127</v>
      </c>
      <c r="B129" s="604" t="s">
        <v>2128</v>
      </c>
      <c r="C129" s="628"/>
      <c r="D129" s="605"/>
      <c r="E129" s="604" t="s">
        <v>2129</v>
      </c>
      <c r="F129" s="628"/>
      <c r="G129" s="605"/>
      <c r="H129" s="604" t="s">
        <v>2130</v>
      </c>
      <c r="I129" s="605"/>
      <c r="J129" s="604" t="s">
        <v>2112</v>
      </c>
      <c r="K129" s="628"/>
      <c r="L129" s="628"/>
      <c r="M129" s="605"/>
      <c r="N129" s="604" t="s">
        <v>2131</v>
      </c>
      <c r="O129" s="628"/>
      <c r="P129" s="628"/>
      <c r="Q129" s="605"/>
      <c r="R129" s="464"/>
    </row>
    <row r="130" spans="1:18" ht="11.85" customHeight="1">
      <c r="A130" s="454" t="s">
        <v>2132</v>
      </c>
      <c r="B130" s="587" t="s">
        <v>2133</v>
      </c>
      <c r="C130" s="626"/>
      <c r="D130" s="588"/>
      <c r="E130" s="587" t="s">
        <v>2134</v>
      </c>
      <c r="F130" s="626"/>
      <c r="G130" s="588"/>
      <c r="H130" s="587" t="s">
        <v>2135</v>
      </c>
      <c r="I130" s="588"/>
      <c r="J130" s="587" t="s">
        <v>2112</v>
      </c>
      <c r="K130" s="626"/>
      <c r="L130" s="626"/>
      <c r="M130" s="588"/>
      <c r="N130" s="587" t="s">
        <v>2136</v>
      </c>
      <c r="O130" s="626"/>
      <c r="P130" s="626"/>
      <c r="Q130" s="588"/>
      <c r="R130" s="464"/>
    </row>
    <row r="131" spans="1:18" ht="11.85" customHeight="1">
      <c r="A131" s="454" t="s">
        <v>2137</v>
      </c>
      <c r="B131" s="587" t="s">
        <v>2138</v>
      </c>
      <c r="C131" s="626"/>
      <c r="D131" s="588"/>
      <c r="E131" s="587" t="s">
        <v>2139</v>
      </c>
      <c r="F131" s="626"/>
      <c r="G131" s="588"/>
      <c r="H131" s="587" t="s">
        <v>1095</v>
      </c>
      <c r="I131" s="588"/>
      <c r="J131" s="587" t="s">
        <v>1219</v>
      </c>
      <c r="K131" s="626"/>
      <c r="L131" s="626"/>
      <c r="M131" s="588"/>
      <c r="N131" s="587" t="s">
        <v>2140</v>
      </c>
      <c r="O131" s="626"/>
      <c r="P131" s="626"/>
      <c r="Q131" s="588"/>
      <c r="R131" s="464"/>
    </row>
    <row r="132" spans="1:18" ht="11.85" customHeight="1">
      <c r="A132" s="456" t="s">
        <v>2141</v>
      </c>
      <c r="B132" s="592" t="s">
        <v>1219</v>
      </c>
      <c r="C132" s="627"/>
      <c r="D132" s="593"/>
      <c r="E132" s="592" t="s">
        <v>1219</v>
      </c>
      <c r="F132" s="627"/>
      <c r="G132" s="593"/>
      <c r="H132" s="592" t="s">
        <v>1219</v>
      </c>
      <c r="I132" s="593"/>
      <c r="J132" s="592" t="s">
        <v>1219</v>
      </c>
      <c r="K132" s="627"/>
      <c r="L132" s="627"/>
      <c r="M132" s="593"/>
      <c r="N132" s="592" t="s">
        <v>1219</v>
      </c>
      <c r="O132" s="627"/>
      <c r="P132" s="627"/>
      <c r="Q132" s="593"/>
      <c r="R132" s="464"/>
    </row>
    <row r="133" spans="1:18" ht="11.1" customHeight="1">
      <c r="A133" s="462"/>
      <c r="B133" s="462"/>
      <c r="C133" s="462"/>
      <c r="D133" s="462"/>
      <c r="E133" s="462"/>
      <c r="F133" s="462"/>
      <c r="G133" s="462"/>
      <c r="H133" s="462"/>
      <c r="I133" s="462"/>
      <c r="J133" s="462"/>
      <c r="K133" s="462"/>
      <c r="L133" s="462"/>
      <c r="M133" s="462"/>
      <c r="N133" s="462"/>
      <c r="O133" s="462"/>
      <c r="P133" s="462"/>
      <c r="Q133" s="462"/>
    </row>
    <row r="134" spans="1:18" ht="11.85" customHeight="1">
      <c r="A134" s="611" t="s">
        <v>2142</v>
      </c>
      <c r="B134" s="612"/>
      <c r="C134" s="612"/>
      <c r="D134" s="612"/>
      <c r="E134" s="612"/>
      <c r="F134" s="612"/>
      <c r="G134" s="612"/>
      <c r="H134" s="612"/>
      <c r="I134" s="612"/>
      <c r="J134" s="612"/>
      <c r="K134" s="612"/>
      <c r="L134" s="612"/>
      <c r="M134" s="612"/>
      <c r="N134" s="612"/>
      <c r="O134" s="612"/>
      <c r="P134" s="612"/>
      <c r="Q134" s="613"/>
      <c r="R134" s="450"/>
    </row>
    <row r="135" spans="1:18" ht="29.65" customHeight="1">
      <c r="A135" s="491" t="s">
        <v>2143</v>
      </c>
      <c r="B135" s="597" t="s">
        <v>1825</v>
      </c>
      <c r="C135" s="602"/>
      <c r="D135" s="602"/>
      <c r="E135" s="602"/>
      <c r="F135" s="602"/>
      <c r="G135" s="603"/>
      <c r="H135" s="597" t="s">
        <v>1826</v>
      </c>
      <c r="I135" s="602"/>
      <c r="J135" s="602"/>
      <c r="K135" s="602"/>
      <c r="L135" s="602"/>
      <c r="M135" s="602"/>
      <c r="N135" s="602"/>
      <c r="O135" s="602"/>
      <c r="P135" s="602"/>
      <c r="Q135" s="603"/>
      <c r="R135" s="450"/>
    </row>
    <row r="136" spans="1:18" ht="14.1" customHeight="1">
      <c r="A136" s="500" t="s">
        <v>2144</v>
      </c>
      <c r="B136" s="606" t="s">
        <v>2145</v>
      </c>
      <c r="C136" s="607"/>
      <c r="D136" s="607"/>
      <c r="E136" s="607"/>
      <c r="F136" s="607"/>
      <c r="G136" s="608"/>
      <c r="H136" s="606" t="s">
        <v>2146</v>
      </c>
      <c r="I136" s="607"/>
      <c r="J136" s="607"/>
      <c r="K136" s="607"/>
      <c r="L136" s="607"/>
      <c r="M136" s="607"/>
      <c r="N136" s="607"/>
      <c r="O136" s="607"/>
      <c r="P136" s="607"/>
      <c r="Q136" s="608"/>
      <c r="R136" s="450"/>
    </row>
    <row r="137" spans="1:18" ht="14.85" customHeight="1">
      <c r="A137" s="501" t="s">
        <v>2147</v>
      </c>
      <c r="B137" s="589" t="s">
        <v>2148</v>
      </c>
      <c r="C137" s="590"/>
      <c r="D137" s="590"/>
      <c r="E137" s="590"/>
      <c r="F137" s="590"/>
      <c r="G137" s="591"/>
      <c r="H137" s="589" t="s">
        <v>619</v>
      </c>
      <c r="I137" s="590"/>
      <c r="J137" s="590"/>
      <c r="K137" s="590"/>
      <c r="L137" s="590"/>
      <c r="M137" s="590"/>
      <c r="N137" s="590"/>
      <c r="O137" s="590"/>
      <c r="P137" s="590"/>
      <c r="Q137" s="591"/>
      <c r="R137" s="450"/>
    </row>
    <row r="138" spans="1:18" ht="14.85" customHeight="1">
      <c r="A138" s="501" t="s">
        <v>2149</v>
      </c>
      <c r="B138" s="589" t="s">
        <v>1219</v>
      </c>
      <c r="C138" s="590"/>
      <c r="D138" s="590"/>
      <c r="E138" s="590"/>
      <c r="F138" s="590"/>
      <c r="G138" s="591"/>
      <c r="H138" s="589" t="s">
        <v>1219</v>
      </c>
      <c r="I138" s="590"/>
      <c r="J138" s="590"/>
      <c r="K138" s="590"/>
      <c r="L138" s="590"/>
      <c r="M138" s="590"/>
      <c r="N138" s="590"/>
      <c r="O138" s="590"/>
      <c r="P138" s="590"/>
      <c r="Q138" s="591"/>
      <c r="R138" s="450"/>
    </row>
    <row r="139" spans="1:18" ht="14.1" customHeight="1">
      <c r="A139" s="501" t="s">
        <v>2150</v>
      </c>
      <c r="B139" s="589" t="s">
        <v>2151</v>
      </c>
      <c r="C139" s="590"/>
      <c r="D139" s="590"/>
      <c r="E139" s="590"/>
      <c r="F139" s="590"/>
      <c r="G139" s="591"/>
      <c r="H139" s="589" t="s">
        <v>613</v>
      </c>
      <c r="I139" s="590"/>
      <c r="J139" s="590"/>
      <c r="K139" s="590"/>
      <c r="L139" s="590"/>
      <c r="M139" s="590"/>
      <c r="N139" s="590"/>
      <c r="O139" s="590"/>
      <c r="P139" s="590"/>
      <c r="Q139" s="591"/>
      <c r="R139" s="450"/>
    </row>
    <row r="140" spans="1:18" ht="14.85" customHeight="1">
      <c r="A140" s="501" t="s">
        <v>2152</v>
      </c>
      <c r="B140" s="589" t="s">
        <v>2153</v>
      </c>
      <c r="C140" s="590"/>
      <c r="D140" s="590"/>
      <c r="E140" s="590"/>
      <c r="F140" s="590"/>
      <c r="G140" s="591"/>
      <c r="H140" s="589" t="s">
        <v>627</v>
      </c>
      <c r="I140" s="590"/>
      <c r="J140" s="590"/>
      <c r="K140" s="590"/>
      <c r="L140" s="590"/>
      <c r="M140" s="590"/>
      <c r="N140" s="590"/>
      <c r="O140" s="590"/>
      <c r="P140" s="590"/>
      <c r="Q140" s="591"/>
      <c r="R140" s="450"/>
    </row>
    <row r="141" spans="1:18" ht="14.85" customHeight="1">
      <c r="A141" s="501" t="s">
        <v>2154</v>
      </c>
      <c r="B141" s="589" t="s">
        <v>2155</v>
      </c>
      <c r="C141" s="590"/>
      <c r="D141" s="590"/>
      <c r="E141" s="590"/>
      <c r="F141" s="590"/>
      <c r="G141" s="591"/>
      <c r="H141" s="589" t="s">
        <v>631</v>
      </c>
      <c r="I141" s="590"/>
      <c r="J141" s="590"/>
      <c r="K141" s="590"/>
      <c r="L141" s="590"/>
      <c r="M141" s="590"/>
      <c r="N141" s="590"/>
      <c r="O141" s="590"/>
      <c r="P141" s="590"/>
      <c r="Q141" s="591"/>
      <c r="R141" s="450"/>
    </row>
    <row r="142" spans="1:18" ht="14.1" customHeight="1">
      <c r="A142" s="501" t="s">
        <v>2156</v>
      </c>
      <c r="B142" s="589" t="s">
        <v>2157</v>
      </c>
      <c r="C142" s="590"/>
      <c r="D142" s="590"/>
      <c r="E142" s="590"/>
      <c r="F142" s="590"/>
      <c r="G142" s="591"/>
      <c r="H142" s="589" t="s">
        <v>635</v>
      </c>
      <c r="I142" s="590"/>
      <c r="J142" s="590"/>
      <c r="K142" s="590"/>
      <c r="L142" s="590"/>
      <c r="M142" s="590"/>
      <c r="N142" s="590"/>
      <c r="O142" s="590"/>
      <c r="P142" s="590"/>
      <c r="Q142" s="591"/>
      <c r="R142" s="450"/>
    </row>
    <row r="143" spans="1:18" ht="14.85" customHeight="1">
      <c r="A143" s="501" t="s">
        <v>2158</v>
      </c>
      <c r="B143" s="589" t="s">
        <v>1219</v>
      </c>
      <c r="C143" s="590"/>
      <c r="D143" s="590"/>
      <c r="E143" s="590"/>
      <c r="F143" s="590"/>
      <c r="G143" s="591"/>
      <c r="H143" s="589" t="s">
        <v>1219</v>
      </c>
      <c r="I143" s="590"/>
      <c r="J143" s="590"/>
      <c r="K143" s="590"/>
      <c r="L143" s="590"/>
      <c r="M143" s="590"/>
      <c r="N143" s="590"/>
      <c r="O143" s="590"/>
      <c r="P143" s="590"/>
      <c r="Q143" s="591"/>
      <c r="R143" s="450"/>
    </row>
    <row r="144" spans="1:18" ht="14.85" customHeight="1">
      <c r="A144" s="501" t="s">
        <v>2159</v>
      </c>
      <c r="B144" s="589" t="s">
        <v>1219</v>
      </c>
      <c r="C144" s="590"/>
      <c r="D144" s="590"/>
      <c r="E144" s="590"/>
      <c r="F144" s="590"/>
      <c r="G144" s="591"/>
      <c r="H144" s="589" t="s">
        <v>1219</v>
      </c>
      <c r="I144" s="590"/>
      <c r="J144" s="590"/>
      <c r="K144" s="590"/>
      <c r="L144" s="590"/>
      <c r="M144" s="590"/>
      <c r="N144" s="590"/>
      <c r="O144" s="590"/>
      <c r="P144" s="590"/>
      <c r="Q144" s="591"/>
      <c r="R144" s="450"/>
    </row>
    <row r="145" spans="1:18" ht="14.1" customHeight="1">
      <c r="A145" s="505" t="s">
        <v>2160</v>
      </c>
      <c r="B145" s="594" t="s">
        <v>1000</v>
      </c>
      <c r="C145" s="595"/>
      <c r="D145" s="595"/>
      <c r="E145" s="595"/>
      <c r="F145" s="595"/>
      <c r="G145" s="596"/>
      <c r="H145" s="594" t="s">
        <v>639</v>
      </c>
      <c r="I145" s="595"/>
      <c r="J145" s="595"/>
      <c r="K145" s="595"/>
      <c r="L145" s="595"/>
      <c r="M145" s="595"/>
      <c r="N145" s="595"/>
      <c r="O145" s="595"/>
      <c r="P145" s="595"/>
      <c r="Q145" s="596"/>
      <c r="R145" s="450"/>
    </row>
    <row r="146" spans="1:18" ht="14.85" customHeight="1">
      <c r="A146" s="506" t="s">
        <v>2161</v>
      </c>
      <c r="B146" s="665" t="s">
        <v>2162</v>
      </c>
      <c r="C146" s="666"/>
      <c r="D146" s="666"/>
      <c r="E146" s="666"/>
      <c r="F146" s="666"/>
      <c r="G146" s="667"/>
      <c r="H146" s="665" t="s">
        <v>2163</v>
      </c>
      <c r="I146" s="666"/>
      <c r="J146" s="666"/>
      <c r="K146" s="666"/>
      <c r="L146" s="666"/>
      <c r="M146" s="666"/>
      <c r="N146" s="666"/>
      <c r="O146" s="666"/>
      <c r="P146" s="666"/>
      <c r="Q146" s="667"/>
      <c r="R146" s="450"/>
    </row>
    <row r="147" spans="1:18" ht="11.85" customHeight="1">
      <c r="A147" s="462"/>
      <c r="B147" s="462"/>
      <c r="C147" s="462"/>
      <c r="D147" s="462"/>
      <c r="E147" s="462"/>
      <c r="F147" s="462"/>
      <c r="G147" s="462"/>
      <c r="H147" s="462"/>
      <c r="I147" s="462"/>
      <c r="J147" s="462"/>
      <c r="K147" s="462"/>
      <c r="L147" s="462"/>
      <c r="M147" s="462"/>
      <c r="N147" s="462"/>
      <c r="O147" s="462"/>
      <c r="P147" s="462"/>
      <c r="Q147" s="462"/>
    </row>
    <row r="148" spans="1:18" ht="34.700000000000003" customHeight="1">
      <c r="A148" s="451" t="s">
        <v>2164</v>
      </c>
      <c r="B148" s="597" t="s">
        <v>1869</v>
      </c>
      <c r="C148" s="602"/>
      <c r="D148" s="603"/>
      <c r="E148" s="597" t="s">
        <v>1870</v>
      </c>
      <c r="F148" s="602"/>
      <c r="G148" s="603"/>
      <c r="H148" s="597" t="s">
        <v>1871</v>
      </c>
      <c r="I148" s="603"/>
      <c r="J148" s="597" t="s">
        <v>1872</v>
      </c>
      <c r="K148" s="602"/>
      <c r="L148" s="602"/>
      <c r="M148" s="603"/>
      <c r="N148" s="597" t="s">
        <v>2031</v>
      </c>
      <c r="O148" s="602"/>
      <c r="P148" s="602"/>
      <c r="Q148" s="603"/>
      <c r="R148" s="450"/>
    </row>
    <row r="149" spans="1:18" ht="11.85" customHeight="1">
      <c r="A149" s="452" t="s">
        <v>2165</v>
      </c>
      <c r="B149" s="604" t="s">
        <v>2166</v>
      </c>
      <c r="C149" s="628"/>
      <c r="D149" s="605"/>
      <c r="E149" s="604" t="s">
        <v>2167</v>
      </c>
      <c r="F149" s="628"/>
      <c r="G149" s="605"/>
      <c r="H149" s="604" t="s">
        <v>2168</v>
      </c>
      <c r="I149" s="605"/>
      <c r="J149" s="604" t="s">
        <v>2169</v>
      </c>
      <c r="K149" s="628"/>
      <c r="L149" s="628"/>
      <c r="M149" s="605"/>
      <c r="N149" s="604" t="s">
        <v>1219</v>
      </c>
      <c r="O149" s="628"/>
      <c r="P149" s="628"/>
      <c r="Q149" s="605"/>
      <c r="R149" s="464"/>
    </row>
    <row r="150" spans="1:18" ht="11.85" customHeight="1">
      <c r="A150" s="454" t="s">
        <v>2170</v>
      </c>
      <c r="B150" s="587" t="s">
        <v>2171</v>
      </c>
      <c r="C150" s="626"/>
      <c r="D150" s="588"/>
      <c r="E150" s="587" t="s">
        <v>2172</v>
      </c>
      <c r="F150" s="626"/>
      <c r="G150" s="588"/>
      <c r="H150" s="587" t="s">
        <v>2173</v>
      </c>
      <c r="I150" s="588"/>
      <c r="J150" s="587" t="s">
        <v>2174</v>
      </c>
      <c r="K150" s="626"/>
      <c r="L150" s="626"/>
      <c r="M150" s="588"/>
      <c r="N150" s="587" t="s">
        <v>1219</v>
      </c>
      <c r="O150" s="626"/>
      <c r="P150" s="626"/>
      <c r="Q150" s="588"/>
      <c r="R150" s="464"/>
    </row>
    <row r="151" spans="1:18" ht="11.1" customHeight="1">
      <c r="A151" s="454" t="s">
        <v>2175</v>
      </c>
      <c r="B151" s="587" t="s">
        <v>2176</v>
      </c>
      <c r="C151" s="626"/>
      <c r="D151" s="588"/>
      <c r="E151" s="587" t="s">
        <v>2177</v>
      </c>
      <c r="F151" s="626"/>
      <c r="G151" s="588"/>
      <c r="H151" s="587" t="s">
        <v>2178</v>
      </c>
      <c r="I151" s="588"/>
      <c r="J151" s="587" t="s">
        <v>2179</v>
      </c>
      <c r="K151" s="626"/>
      <c r="L151" s="626"/>
      <c r="M151" s="588"/>
      <c r="N151" s="587" t="s">
        <v>1219</v>
      </c>
      <c r="O151" s="626"/>
      <c r="P151" s="626"/>
      <c r="Q151" s="588"/>
      <c r="R151" s="464"/>
    </row>
    <row r="152" spans="1:18" ht="11.85" customHeight="1">
      <c r="A152" s="454" t="s">
        <v>2180</v>
      </c>
      <c r="B152" s="587" t="s">
        <v>2181</v>
      </c>
      <c r="C152" s="626"/>
      <c r="D152" s="588"/>
      <c r="E152" s="587" t="s">
        <v>2182</v>
      </c>
      <c r="F152" s="626"/>
      <c r="G152" s="588"/>
      <c r="H152" s="587" t="s">
        <v>2183</v>
      </c>
      <c r="I152" s="588"/>
      <c r="J152" s="587" t="s">
        <v>2184</v>
      </c>
      <c r="K152" s="626"/>
      <c r="L152" s="626"/>
      <c r="M152" s="588"/>
      <c r="N152" s="587" t="s">
        <v>1219</v>
      </c>
      <c r="O152" s="626"/>
      <c r="P152" s="626"/>
      <c r="Q152" s="588"/>
      <c r="R152" s="464"/>
    </row>
    <row r="153" spans="1:18" ht="11.85" customHeight="1">
      <c r="A153" s="454" t="s">
        <v>2185</v>
      </c>
      <c r="B153" s="587">
        <v>10</v>
      </c>
      <c r="C153" s="626"/>
      <c r="D153" s="588"/>
      <c r="E153" s="587" t="s">
        <v>1219</v>
      </c>
      <c r="F153" s="626"/>
      <c r="G153" s="588"/>
      <c r="H153" s="587" t="s">
        <v>1219</v>
      </c>
      <c r="I153" s="588"/>
      <c r="J153" s="587" t="s">
        <v>1219</v>
      </c>
      <c r="K153" s="626"/>
      <c r="L153" s="626"/>
      <c r="M153" s="588"/>
      <c r="N153" s="587" t="s">
        <v>1219</v>
      </c>
      <c r="O153" s="626"/>
      <c r="P153" s="626"/>
      <c r="Q153" s="588"/>
      <c r="R153" s="464"/>
    </row>
    <row r="154" spans="1:18" ht="11.85" customHeight="1">
      <c r="A154" s="454" t="s">
        <v>2186</v>
      </c>
      <c r="B154" s="587">
        <v>10</v>
      </c>
      <c r="C154" s="626"/>
      <c r="D154" s="588"/>
      <c r="E154" s="587" t="s">
        <v>1219</v>
      </c>
      <c r="F154" s="626"/>
      <c r="G154" s="588"/>
      <c r="H154" s="587" t="s">
        <v>1219</v>
      </c>
      <c r="I154" s="588"/>
      <c r="J154" s="587" t="s">
        <v>1219</v>
      </c>
      <c r="K154" s="626"/>
      <c r="L154" s="626"/>
      <c r="M154" s="588"/>
      <c r="N154" s="587" t="s">
        <v>1219</v>
      </c>
      <c r="O154" s="626"/>
      <c r="P154" s="626"/>
      <c r="Q154" s="588"/>
      <c r="R154" s="464"/>
    </row>
    <row r="155" spans="1:18" ht="11.1" customHeight="1">
      <c r="A155" s="456" t="s">
        <v>2187</v>
      </c>
      <c r="B155" s="592" t="s">
        <v>1219</v>
      </c>
      <c r="C155" s="627"/>
      <c r="D155" s="593"/>
      <c r="E155" s="592" t="s">
        <v>1219</v>
      </c>
      <c r="F155" s="627"/>
      <c r="G155" s="593"/>
      <c r="H155" s="592" t="s">
        <v>1219</v>
      </c>
      <c r="I155" s="593"/>
      <c r="J155" s="592" t="s">
        <v>1219</v>
      </c>
      <c r="K155" s="627"/>
      <c r="L155" s="627"/>
      <c r="M155" s="593"/>
      <c r="N155" s="592" t="s">
        <v>1219</v>
      </c>
      <c r="O155" s="627"/>
      <c r="P155" s="627"/>
      <c r="Q155" s="593"/>
      <c r="R155" s="464"/>
    </row>
    <row r="156" spans="1:18" ht="11.85" customHeight="1">
      <c r="A156" s="493" t="s">
        <v>2188</v>
      </c>
      <c r="B156" s="649" t="s">
        <v>2189</v>
      </c>
      <c r="C156" s="651"/>
      <c r="D156" s="650"/>
      <c r="E156" s="649" t="s">
        <v>2190</v>
      </c>
      <c r="F156" s="651"/>
      <c r="G156" s="650"/>
      <c r="H156" s="649" t="s">
        <v>2191</v>
      </c>
      <c r="I156" s="650"/>
      <c r="J156" s="649" t="s">
        <v>2192</v>
      </c>
      <c r="K156" s="651"/>
      <c r="L156" s="651"/>
      <c r="M156" s="650"/>
      <c r="N156" s="649" t="s">
        <v>1219</v>
      </c>
      <c r="O156" s="651"/>
      <c r="P156" s="651"/>
      <c r="Q156" s="650"/>
      <c r="R156" s="464"/>
    </row>
    <row r="157" spans="1:18" ht="11.85" customHeight="1">
      <c r="A157" s="469"/>
      <c r="B157" s="469"/>
      <c r="C157" s="469"/>
      <c r="D157" s="469"/>
      <c r="E157" s="469"/>
      <c r="F157" s="469"/>
      <c r="G157" s="469"/>
      <c r="H157" s="469"/>
      <c r="I157" s="469"/>
      <c r="J157" s="469"/>
      <c r="K157" s="469"/>
      <c r="L157" s="469"/>
      <c r="M157" s="469"/>
      <c r="N157" s="469"/>
      <c r="O157" s="469"/>
      <c r="P157" s="469"/>
      <c r="Q157" s="469"/>
    </row>
    <row r="158" spans="1:18" ht="37.700000000000003" customHeight="1"/>
    <row r="159" spans="1:18" ht="11.85" customHeight="1">
      <c r="A159" s="615" t="s">
        <v>1332</v>
      </c>
      <c r="B159" s="615"/>
      <c r="C159" s="615"/>
      <c r="Q159" s="448" t="s">
        <v>1949</v>
      </c>
    </row>
    <row r="160" spans="1:18" ht="11.1" customHeight="1">
      <c r="A160" s="615" t="s">
        <v>1818</v>
      </c>
      <c r="B160" s="615"/>
      <c r="C160" s="615"/>
    </row>
    <row r="161" spans="1:18" ht="11.85" customHeight="1">
      <c r="A161" s="619" t="s">
        <v>1961</v>
      </c>
      <c r="B161" s="619"/>
      <c r="C161" s="619"/>
      <c r="D161" s="619"/>
      <c r="E161" s="619"/>
      <c r="F161" s="619"/>
      <c r="G161" s="619"/>
      <c r="H161" s="619"/>
      <c r="I161" s="619"/>
      <c r="J161" s="619"/>
      <c r="K161" s="619"/>
      <c r="L161" s="619"/>
    </row>
    <row r="162" spans="1:18" ht="11.85" customHeight="1">
      <c r="A162" s="615" t="s">
        <v>1820</v>
      </c>
      <c r="B162" s="615"/>
      <c r="C162" s="615"/>
    </row>
    <row r="163" spans="1:18" ht="11.85" customHeight="1">
      <c r="A163" s="615" t="s">
        <v>1209</v>
      </c>
      <c r="B163" s="615"/>
      <c r="C163" s="615"/>
    </row>
    <row r="164" spans="1:18" ht="5.85" customHeight="1"/>
    <row r="165" spans="1:18" ht="11.1" customHeight="1">
      <c r="A165" s="616" t="s">
        <v>1962</v>
      </c>
      <c r="B165" s="616"/>
      <c r="C165" s="616"/>
      <c r="D165" s="449"/>
      <c r="E165" s="449"/>
      <c r="F165" s="449"/>
      <c r="G165" s="449"/>
      <c r="H165" s="449"/>
      <c r="I165" s="449"/>
      <c r="J165" s="449"/>
      <c r="K165" s="449"/>
      <c r="L165" s="654" t="s">
        <v>1211</v>
      </c>
      <c r="M165" s="654"/>
      <c r="N165" s="654"/>
      <c r="O165" s="654"/>
      <c r="P165" s="654"/>
      <c r="Q165" s="654"/>
    </row>
    <row r="166" spans="1:18" ht="35.450000000000003" customHeight="1">
      <c r="A166" s="491" t="s">
        <v>2193</v>
      </c>
      <c r="B166" s="597" t="s">
        <v>1869</v>
      </c>
      <c r="C166" s="602"/>
      <c r="D166" s="603"/>
      <c r="E166" s="597" t="s">
        <v>1870</v>
      </c>
      <c r="F166" s="602"/>
      <c r="G166" s="603"/>
      <c r="H166" s="597" t="s">
        <v>1871</v>
      </c>
      <c r="I166" s="603"/>
      <c r="J166" s="597" t="s">
        <v>1872</v>
      </c>
      <c r="K166" s="602"/>
      <c r="L166" s="602"/>
      <c r="M166" s="603"/>
      <c r="N166" s="597" t="s">
        <v>2031</v>
      </c>
      <c r="O166" s="602"/>
      <c r="P166" s="602"/>
      <c r="Q166" s="603"/>
      <c r="R166" s="450"/>
    </row>
    <row r="167" spans="1:18" ht="11.1" customHeight="1">
      <c r="A167" s="452" t="s">
        <v>2194</v>
      </c>
      <c r="B167" s="604" t="s">
        <v>2195</v>
      </c>
      <c r="C167" s="628"/>
      <c r="D167" s="605"/>
      <c r="E167" s="604" t="s">
        <v>2196</v>
      </c>
      <c r="F167" s="628"/>
      <c r="G167" s="605"/>
      <c r="H167" s="604" t="s">
        <v>2197</v>
      </c>
      <c r="I167" s="605"/>
      <c r="J167" s="604" t="s">
        <v>2198</v>
      </c>
      <c r="K167" s="628"/>
      <c r="L167" s="628"/>
      <c r="M167" s="605"/>
      <c r="N167" s="604" t="s">
        <v>1219</v>
      </c>
      <c r="O167" s="628"/>
      <c r="P167" s="628"/>
      <c r="Q167" s="605"/>
      <c r="R167" s="464"/>
    </row>
    <row r="168" spans="1:18" ht="11.85" customHeight="1">
      <c r="A168" s="454" t="s">
        <v>2199</v>
      </c>
      <c r="B168" s="587" t="s">
        <v>2200</v>
      </c>
      <c r="C168" s="626"/>
      <c r="D168" s="588"/>
      <c r="E168" s="587" t="s">
        <v>2201</v>
      </c>
      <c r="F168" s="626"/>
      <c r="G168" s="588"/>
      <c r="H168" s="587" t="s">
        <v>2202</v>
      </c>
      <c r="I168" s="588"/>
      <c r="J168" s="587" t="s">
        <v>2203</v>
      </c>
      <c r="K168" s="626"/>
      <c r="L168" s="626"/>
      <c r="M168" s="588"/>
      <c r="N168" s="587" t="s">
        <v>1219</v>
      </c>
      <c r="O168" s="626"/>
      <c r="P168" s="626"/>
      <c r="Q168" s="588"/>
      <c r="R168" s="464"/>
    </row>
    <row r="169" spans="1:18" ht="11.85" customHeight="1">
      <c r="A169" s="454" t="s">
        <v>2204</v>
      </c>
      <c r="B169" s="587" t="s">
        <v>2205</v>
      </c>
      <c r="C169" s="626"/>
      <c r="D169" s="588"/>
      <c r="E169" s="587" t="s">
        <v>2206</v>
      </c>
      <c r="F169" s="626"/>
      <c r="G169" s="588"/>
      <c r="H169" s="587" t="s">
        <v>2206</v>
      </c>
      <c r="I169" s="588"/>
      <c r="J169" s="587" t="s">
        <v>2207</v>
      </c>
      <c r="K169" s="626"/>
      <c r="L169" s="626"/>
      <c r="M169" s="588"/>
      <c r="N169" s="587" t="s">
        <v>1219</v>
      </c>
      <c r="O169" s="626"/>
      <c r="P169" s="626"/>
      <c r="Q169" s="588"/>
      <c r="R169" s="464"/>
    </row>
    <row r="170" spans="1:18" ht="11.85" customHeight="1">
      <c r="A170" s="454" t="s">
        <v>2208</v>
      </c>
      <c r="B170" s="587" t="s">
        <v>1219</v>
      </c>
      <c r="C170" s="626"/>
      <c r="D170" s="588"/>
      <c r="E170" s="587" t="s">
        <v>1219</v>
      </c>
      <c r="F170" s="626"/>
      <c r="G170" s="588"/>
      <c r="H170" s="587" t="s">
        <v>1219</v>
      </c>
      <c r="I170" s="588"/>
      <c r="J170" s="587" t="s">
        <v>1219</v>
      </c>
      <c r="K170" s="626"/>
      <c r="L170" s="626"/>
      <c r="M170" s="588"/>
      <c r="N170" s="587" t="s">
        <v>1219</v>
      </c>
      <c r="O170" s="626"/>
      <c r="P170" s="626"/>
      <c r="Q170" s="588"/>
      <c r="R170" s="464"/>
    </row>
    <row r="171" spans="1:18" ht="11.1" customHeight="1">
      <c r="A171" s="454" t="s">
        <v>2209</v>
      </c>
      <c r="B171" s="587" t="s">
        <v>1494</v>
      </c>
      <c r="C171" s="626"/>
      <c r="D171" s="588"/>
      <c r="E171" s="587" t="s">
        <v>1219</v>
      </c>
      <c r="F171" s="626"/>
      <c r="G171" s="588"/>
      <c r="H171" s="587" t="s">
        <v>1219</v>
      </c>
      <c r="I171" s="588"/>
      <c r="J171" s="587" t="s">
        <v>1219</v>
      </c>
      <c r="K171" s="626"/>
      <c r="L171" s="626"/>
      <c r="M171" s="588"/>
      <c r="N171" s="587" t="s">
        <v>1219</v>
      </c>
      <c r="O171" s="626"/>
      <c r="P171" s="626"/>
      <c r="Q171" s="588"/>
      <c r="R171" s="464"/>
    </row>
    <row r="172" spans="1:18" ht="11.85" customHeight="1">
      <c r="A172" s="454" t="s">
        <v>2210</v>
      </c>
      <c r="B172" s="587" t="s">
        <v>2211</v>
      </c>
      <c r="C172" s="626"/>
      <c r="D172" s="588"/>
      <c r="E172" s="587" t="s">
        <v>2212</v>
      </c>
      <c r="F172" s="626"/>
      <c r="G172" s="588"/>
      <c r="H172" s="587" t="s">
        <v>2213</v>
      </c>
      <c r="I172" s="588"/>
      <c r="J172" s="587" t="s">
        <v>2214</v>
      </c>
      <c r="K172" s="626"/>
      <c r="L172" s="626"/>
      <c r="M172" s="588"/>
      <c r="N172" s="587" t="s">
        <v>1219</v>
      </c>
      <c r="O172" s="626"/>
      <c r="P172" s="626"/>
      <c r="Q172" s="588"/>
      <c r="R172" s="464"/>
    </row>
    <row r="173" spans="1:18" ht="11.85" customHeight="1">
      <c r="A173" s="454" t="s">
        <v>2215</v>
      </c>
      <c r="B173" s="587" t="s">
        <v>2216</v>
      </c>
      <c r="C173" s="626"/>
      <c r="D173" s="588"/>
      <c r="E173" s="587" t="s">
        <v>2217</v>
      </c>
      <c r="F173" s="626"/>
      <c r="G173" s="588"/>
      <c r="H173" s="587" t="s">
        <v>2218</v>
      </c>
      <c r="I173" s="588"/>
      <c r="J173" s="587" t="s">
        <v>2218</v>
      </c>
      <c r="K173" s="626"/>
      <c r="L173" s="626"/>
      <c r="M173" s="588"/>
      <c r="N173" s="587" t="s">
        <v>1219</v>
      </c>
      <c r="O173" s="626"/>
      <c r="P173" s="626"/>
      <c r="Q173" s="588"/>
      <c r="R173" s="464"/>
    </row>
    <row r="174" spans="1:18" ht="11.85" customHeight="1">
      <c r="A174" s="454" t="s">
        <v>2219</v>
      </c>
      <c r="B174" s="587" t="s">
        <v>1219</v>
      </c>
      <c r="C174" s="626"/>
      <c r="D174" s="588"/>
      <c r="E174" s="587" t="s">
        <v>1219</v>
      </c>
      <c r="F174" s="626"/>
      <c r="G174" s="588"/>
      <c r="H174" s="587" t="s">
        <v>1219</v>
      </c>
      <c r="I174" s="588"/>
      <c r="J174" s="587" t="s">
        <v>1219</v>
      </c>
      <c r="K174" s="626"/>
      <c r="L174" s="626"/>
      <c r="M174" s="588"/>
      <c r="N174" s="587" t="s">
        <v>1219</v>
      </c>
      <c r="O174" s="626"/>
      <c r="P174" s="626"/>
      <c r="Q174" s="588"/>
      <c r="R174" s="464"/>
    </row>
    <row r="175" spans="1:18" ht="11.1" customHeight="1">
      <c r="A175" s="456" t="s">
        <v>2220</v>
      </c>
      <c r="B175" s="592" t="s">
        <v>2216</v>
      </c>
      <c r="C175" s="627"/>
      <c r="D175" s="593"/>
      <c r="E175" s="592" t="s">
        <v>2217</v>
      </c>
      <c r="F175" s="627"/>
      <c r="G175" s="593"/>
      <c r="H175" s="592" t="s">
        <v>2218</v>
      </c>
      <c r="I175" s="593"/>
      <c r="J175" s="592" t="s">
        <v>2218</v>
      </c>
      <c r="K175" s="627"/>
      <c r="L175" s="627"/>
      <c r="M175" s="593"/>
      <c r="N175" s="592" t="s">
        <v>1219</v>
      </c>
      <c r="O175" s="627"/>
      <c r="P175" s="627"/>
      <c r="Q175" s="593"/>
      <c r="R175" s="464"/>
    </row>
    <row r="176" spans="1:18" ht="11.85" customHeight="1">
      <c r="A176" s="462"/>
      <c r="B176" s="462"/>
      <c r="C176" s="462"/>
      <c r="D176" s="462"/>
      <c r="E176" s="462"/>
      <c r="F176" s="462"/>
      <c r="G176" s="462"/>
      <c r="H176" s="462"/>
      <c r="I176" s="462"/>
      <c r="J176" s="462"/>
      <c r="K176" s="462"/>
      <c r="L176" s="462"/>
      <c r="M176" s="462"/>
      <c r="N176" s="462"/>
      <c r="O176" s="462"/>
      <c r="P176" s="462"/>
      <c r="Q176" s="462"/>
    </row>
    <row r="177" spans="1:18" ht="34.700000000000003" customHeight="1">
      <c r="A177" s="491" t="s">
        <v>2221</v>
      </c>
      <c r="B177" s="597" t="s">
        <v>2222</v>
      </c>
      <c r="C177" s="602"/>
      <c r="D177" s="602"/>
      <c r="E177" s="602"/>
      <c r="F177" s="602"/>
      <c r="G177" s="603"/>
      <c r="H177" s="597" t="s">
        <v>2223</v>
      </c>
      <c r="I177" s="602"/>
      <c r="J177" s="602"/>
      <c r="K177" s="602"/>
      <c r="L177" s="602"/>
      <c r="M177" s="602"/>
      <c r="N177" s="602"/>
      <c r="O177" s="602"/>
      <c r="P177" s="602"/>
      <c r="Q177" s="603"/>
      <c r="R177" s="450"/>
    </row>
    <row r="178" spans="1:18" ht="11.85" customHeight="1">
      <c r="A178" s="452" t="s">
        <v>2224</v>
      </c>
      <c r="B178" s="604" t="s">
        <v>590</v>
      </c>
      <c r="C178" s="628"/>
      <c r="D178" s="628"/>
      <c r="E178" s="628"/>
      <c r="F178" s="628"/>
      <c r="G178" s="605"/>
      <c r="H178" s="604" t="s">
        <v>618</v>
      </c>
      <c r="I178" s="628"/>
      <c r="J178" s="628"/>
      <c r="K178" s="628"/>
      <c r="L178" s="628"/>
      <c r="M178" s="628"/>
      <c r="N178" s="628"/>
      <c r="O178" s="628"/>
      <c r="P178" s="628"/>
      <c r="Q178" s="605"/>
      <c r="R178" s="464"/>
    </row>
    <row r="179" spans="1:18" ht="11.85" customHeight="1">
      <c r="A179" s="454" t="s">
        <v>2225</v>
      </c>
      <c r="B179" s="587" t="s">
        <v>591</v>
      </c>
      <c r="C179" s="626"/>
      <c r="D179" s="626"/>
      <c r="E179" s="626"/>
      <c r="F179" s="626"/>
      <c r="G179" s="588"/>
      <c r="H179" s="587" t="s">
        <v>619</v>
      </c>
      <c r="I179" s="626"/>
      <c r="J179" s="626"/>
      <c r="K179" s="626"/>
      <c r="L179" s="626"/>
      <c r="M179" s="626"/>
      <c r="N179" s="626"/>
      <c r="O179" s="626"/>
      <c r="P179" s="626"/>
      <c r="Q179" s="588"/>
      <c r="R179" s="464"/>
    </row>
    <row r="180" spans="1:18" ht="11.85" customHeight="1">
      <c r="A180" s="454" t="s">
        <v>2226</v>
      </c>
      <c r="B180" s="587" t="s">
        <v>2227</v>
      </c>
      <c r="C180" s="626"/>
      <c r="D180" s="626"/>
      <c r="E180" s="626"/>
      <c r="F180" s="626"/>
      <c r="G180" s="588"/>
      <c r="H180" s="587" t="s">
        <v>2228</v>
      </c>
      <c r="I180" s="626"/>
      <c r="J180" s="626"/>
      <c r="K180" s="626"/>
      <c r="L180" s="626"/>
      <c r="M180" s="626"/>
      <c r="N180" s="626"/>
      <c r="O180" s="626"/>
      <c r="P180" s="626"/>
      <c r="Q180" s="588"/>
      <c r="R180" s="464"/>
    </row>
    <row r="181" spans="1:18" ht="11.1" customHeight="1">
      <c r="A181" s="454" t="s">
        <v>2229</v>
      </c>
      <c r="B181" s="587" t="s">
        <v>2230</v>
      </c>
      <c r="C181" s="626"/>
      <c r="D181" s="626"/>
      <c r="E181" s="626"/>
      <c r="F181" s="626"/>
      <c r="G181" s="588"/>
      <c r="H181" s="587" t="s">
        <v>2231</v>
      </c>
      <c r="I181" s="626"/>
      <c r="J181" s="626"/>
      <c r="K181" s="626"/>
      <c r="L181" s="626"/>
      <c r="M181" s="626"/>
      <c r="N181" s="626"/>
      <c r="O181" s="626"/>
      <c r="P181" s="626"/>
      <c r="Q181" s="588"/>
      <c r="R181" s="464"/>
    </row>
    <row r="182" spans="1:18" ht="11.85" customHeight="1">
      <c r="A182" s="454" t="s">
        <v>2232</v>
      </c>
      <c r="B182" s="587" t="s">
        <v>1219</v>
      </c>
      <c r="C182" s="626"/>
      <c r="D182" s="626"/>
      <c r="E182" s="626"/>
      <c r="F182" s="626"/>
      <c r="G182" s="588"/>
      <c r="H182" s="587" t="s">
        <v>1219</v>
      </c>
      <c r="I182" s="626"/>
      <c r="J182" s="626"/>
      <c r="K182" s="626"/>
      <c r="L182" s="626"/>
      <c r="M182" s="626"/>
      <c r="N182" s="626"/>
      <c r="O182" s="626"/>
      <c r="P182" s="626"/>
      <c r="Q182" s="588"/>
      <c r="R182" s="464"/>
    </row>
    <row r="183" spans="1:18" ht="11.85" customHeight="1">
      <c r="A183" s="454" t="s">
        <v>2233</v>
      </c>
      <c r="B183" s="587" t="s">
        <v>1219</v>
      </c>
      <c r="C183" s="626"/>
      <c r="D183" s="626"/>
      <c r="E183" s="626"/>
      <c r="F183" s="626"/>
      <c r="G183" s="588"/>
      <c r="H183" s="587" t="s">
        <v>1219</v>
      </c>
      <c r="I183" s="626"/>
      <c r="J183" s="626"/>
      <c r="K183" s="626"/>
      <c r="L183" s="626"/>
      <c r="M183" s="626"/>
      <c r="N183" s="626"/>
      <c r="O183" s="626"/>
      <c r="P183" s="626"/>
      <c r="Q183" s="588"/>
      <c r="R183" s="464"/>
    </row>
    <row r="184" spans="1:18" ht="11.85" customHeight="1">
      <c r="A184" s="456" t="s">
        <v>2234</v>
      </c>
      <c r="B184" s="592" t="s">
        <v>2230</v>
      </c>
      <c r="C184" s="627"/>
      <c r="D184" s="627"/>
      <c r="E184" s="627"/>
      <c r="F184" s="627"/>
      <c r="G184" s="593"/>
      <c r="H184" s="592" t="s">
        <v>2231</v>
      </c>
      <c r="I184" s="627"/>
      <c r="J184" s="627"/>
      <c r="K184" s="627"/>
      <c r="L184" s="627"/>
      <c r="M184" s="627"/>
      <c r="N184" s="627"/>
      <c r="O184" s="627"/>
      <c r="P184" s="627"/>
      <c r="Q184" s="593"/>
      <c r="R184" s="464"/>
    </row>
    <row r="185" spans="1:18" ht="11.1" customHeight="1">
      <c r="A185" s="652" t="s">
        <v>2235</v>
      </c>
      <c r="B185" s="652"/>
      <c r="C185" s="652"/>
      <c r="D185" s="652"/>
      <c r="E185" s="652"/>
      <c r="F185" s="652"/>
      <c r="G185" s="652"/>
      <c r="H185" s="652"/>
      <c r="I185" s="652"/>
      <c r="J185" s="652"/>
      <c r="K185" s="652"/>
      <c r="L185" s="652"/>
      <c r="M185" s="652"/>
      <c r="N185" s="652"/>
      <c r="O185" s="652"/>
      <c r="P185" s="652"/>
      <c r="Q185" s="652"/>
    </row>
    <row r="186" spans="1:18" ht="64.349999999999994" customHeight="1">
      <c r="A186" s="653" t="s">
        <v>2236</v>
      </c>
      <c r="B186" s="653"/>
      <c r="C186" s="653"/>
      <c r="D186" s="653"/>
      <c r="E186" s="653"/>
      <c r="F186" s="653"/>
      <c r="G186" s="653"/>
      <c r="H186" s="653"/>
      <c r="I186" s="653"/>
      <c r="J186" s="653"/>
      <c r="K186" s="653"/>
      <c r="L186" s="653"/>
      <c r="M186" s="653"/>
      <c r="N186" s="653"/>
      <c r="O186" s="653"/>
      <c r="P186" s="653"/>
      <c r="Q186" s="653"/>
    </row>
    <row r="187" spans="1:18" ht="5.85" customHeight="1"/>
    <row r="188" spans="1:18" ht="11.85" customHeight="1"/>
    <row r="189" spans="1:18" ht="5.0999999999999996" customHeight="1"/>
    <row r="190" spans="1:18" ht="11.85" customHeight="1"/>
    <row r="191" spans="1:18" ht="5.85" customHeight="1"/>
    <row r="192" spans="1:18" ht="46.7" customHeight="1"/>
    <row r="193" ht="46.7" customHeight="1"/>
  </sheetData>
  <mergeCells count="461">
    <mergeCell ref="A1:C1"/>
    <mergeCell ref="A2:C2"/>
    <mergeCell ref="A3:L3"/>
    <mergeCell ref="A4:C4"/>
    <mergeCell ref="A5:C5"/>
    <mergeCell ref="A7:C7"/>
    <mergeCell ref="L7:Q7"/>
    <mergeCell ref="B12:G12"/>
    <mergeCell ref="H12:Q12"/>
    <mergeCell ref="B13:G13"/>
    <mergeCell ref="H13:Q13"/>
    <mergeCell ref="B14:G14"/>
    <mergeCell ref="H14:Q14"/>
    <mergeCell ref="A8:Q8"/>
    <mergeCell ref="B9:G9"/>
    <mergeCell ref="H9:Q9"/>
    <mergeCell ref="B10:G10"/>
    <mergeCell ref="H10:Q10"/>
    <mergeCell ref="B11:G11"/>
    <mergeCell ref="H11:Q11"/>
    <mergeCell ref="B18:G18"/>
    <mergeCell ref="H18:Q18"/>
    <mergeCell ref="B19:G19"/>
    <mergeCell ref="H19:Q19"/>
    <mergeCell ref="B20:G20"/>
    <mergeCell ref="H20:Q20"/>
    <mergeCell ref="B15:G15"/>
    <mergeCell ref="H15:Q15"/>
    <mergeCell ref="B16:G16"/>
    <mergeCell ref="H16:Q16"/>
    <mergeCell ref="B17:G17"/>
    <mergeCell ref="H17:Q17"/>
    <mergeCell ref="B24:G24"/>
    <mergeCell ref="H24:Q24"/>
    <mergeCell ref="B25:G25"/>
    <mergeCell ref="H25:Q25"/>
    <mergeCell ref="B26:G26"/>
    <mergeCell ref="H26:Q26"/>
    <mergeCell ref="B21:G21"/>
    <mergeCell ref="H21:Q21"/>
    <mergeCell ref="B22:G22"/>
    <mergeCell ref="H22:Q22"/>
    <mergeCell ref="B23:G23"/>
    <mergeCell ref="H23:Q23"/>
    <mergeCell ref="B32:G32"/>
    <mergeCell ref="H32:Q32"/>
    <mergeCell ref="B33:G33"/>
    <mergeCell ref="H33:Q33"/>
    <mergeCell ref="B34:G34"/>
    <mergeCell ref="H34:Q34"/>
    <mergeCell ref="B27:G27"/>
    <mergeCell ref="H27:Q27"/>
    <mergeCell ref="A29:Q29"/>
    <mergeCell ref="B30:G30"/>
    <mergeCell ref="H30:Q30"/>
    <mergeCell ref="B31:G31"/>
    <mergeCell ref="H31:Q31"/>
    <mergeCell ref="B38:G38"/>
    <mergeCell ref="H38:Q38"/>
    <mergeCell ref="B39:G39"/>
    <mergeCell ref="H39:Q39"/>
    <mergeCell ref="B40:G40"/>
    <mergeCell ref="H40:Q40"/>
    <mergeCell ref="B35:G35"/>
    <mergeCell ref="H35:Q35"/>
    <mergeCell ref="B36:G36"/>
    <mergeCell ref="H36:Q36"/>
    <mergeCell ref="B37:G37"/>
    <mergeCell ref="H37:Q37"/>
    <mergeCell ref="A49:Q49"/>
    <mergeCell ref="B50:G50"/>
    <mergeCell ref="H50:Q50"/>
    <mergeCell ref="B51:G51"/>
    <mergeCell ref="H51:Q51"/>
    <mergeCell ref="B53:Q53"/>
    <mergeCell ref="A42:C42"/>
    <mergeCell ref="A43:C43"/>
    <mergeCell ref="A44:L44"/>
    <mergeCell ref="A45:C45"/>
    <mergeCell ref="A46:C46"/>
    <mergeCell ref="A48:C48"/>
    <mergeCell ref="L48:Q48"/>
    <mergeCell ref="B54:Q54"/>
    <mergeCell ref="B55:Q55"/>
    <mergeCell ref="B56:Q56"/>
    <mergeCell ref="B57:Q57"/>
    <mergeCell ref="B59:D59"/>
    <mergeCell ref="E59:G59"/>
    <mergeCell ref="H59:I59"/>
    <mergeCell ref="J59:M59"/>
    <mergeCell ref="N59:Q59"/>
    <mergeCell ref="B60:D60"/>
    <mergeCell ref="E60:G60"/>
    <mergeCell ref="H60:I60"/>
    <mergeCell ref="J60:M60"/>
    <mergeCell ref="N60:Q60"/>
    <mergeCell ref="B61:D61"/>
    <mergeCell ref="E61:G61"/>
    <mergeCell ref="H61:I61"/>
    <mergeCell ref="J61:M61"/>
    <mergeCell ref="N61:Q61"/>
    <mergeCell ref="B62:D62"/>
    <mergeCell ref="E62:G62"/>
    <mergeCell ref="H62:I62"/>
    <mergeCell ref="J62:M62"/>
    <mergeCell ref="N62:Q62"/>
    <mergeCell ref="B63:D63"/>
    <mergeCell ref="E63:G63"/>
    <mergeCell ref="H63:I63"/>
    <mergeCell ref="J63:M63"/>
    <mergeCell ref="N63:Q63"/>
    <mergeCell ref="B64:D64"/>
    <mergeCell ref="E64:G64"/>
    <mergeCell ref="H64:I64"/>
    <mergeCell ref="J64:M64"/>
    <mergeCell ref="N64:Q64"/>
    <mergeCell ref="B65:D65"/>
    <mergeCell ref="E65:G65"/>
    <mergeCell ref="H65:I65"/>
    <mergeCell ref="J65:M65"/>
    <mergeCell ref="N65:Q65"/>
    <mergeCell ref="B66:D66"/>
    <mergeCell ref="E66:G66"/>
    <mergeCell ref="H66:I66"/>
    <mergeCell ref="J66:M66"/>
    <mergeCell ref="N66:Q66"/>
    <mergeCell ref="B67:D67"/>
    <mergeCell ref="E67:G67"/>
    <mergeCell ref="H67:I67"/>
    <mergeCell ref="J67:M67"/>
    <mergeCell ref="N67:Q67"/>
    <mergeCell ref="B70:D70"/>
    <mergeCell ref="E70:G70"/>
    <mergeCell ref="H70:I70"/>
    <mergeCell ref="J70:M70"/>
    <mergeCell ref="N70:Q70"/>
    <mergeCell ref="A72:Q72"/>
    <mergeCell ref="B68:D68"/>
    <mergeCell ref="E68:G68"/>
    <mergeCell ref="H68:I68"/>
    <mergeCell ref="J68:M68"/>
    <mergeCell ref="N68:Q68"/>
    <mergeCell ref="B69:D69"/>
    <mergeCell ref="E69:G69"/>
    <mergeCell ref="H69:I69"/>
    <mergeCell ref="J69:M69"/>
    <mergeCell ref="N69:Q69"/>
    <mergeCell ref="B73:D73"/>
    <mergeCell ref="E73:G73"/>
    <mergeCell ref="H73:I73"/>
    <mergeCell ref="J73:M73"/>
    <mergeCell ref="N73:Q73"/>
    <mergeCell ref="B74:D74"/>
    <mergeCell ref="E74:G74"/>
    <mergeCell ref="H74:I74"/>
    <mergeCell ref="J74:M74"/>
    <mergeCell ref="N74:Q74"/>
    <mergeCell ref="B75:D75"/>
    <mergeCell ref="E75:G75"/>
    <mergeCell ref="H75:I75"/>
    <mergeCell ref="J75:M75"/>
    <mergeCell ref="N75:Q75"/>
    <mergeCell ref="B76:D76"/>
    <mergeCell ref="E76:G76"/>
    <mergeCell ref="H76:I76"/>
    <mergeCell ref="J76:M76"/>
    <mergeCell ref="N76:Q76"/>
    <mergeCell ref="B79:D79"/>
    <mergeCell ref="E79:G79"/>
    <mergeCell ref="H79:I79"/>
    <mergeCell ref="J79:M79"/>
    <mergeCell ref="N79:Q79"/>
    <mergeCell ref="A82:C82"/>
    <mergeCell ref="B77:D77"/>
    <mergeCell ref="E77:G77"/>
    <mergeCell ref="H77:I77"/>
    <mergeCell ref="J77:M77"/>
    <mergeCell ref="N77:Q77"/>
    <mergeCell ref="B78:D78"/>
    <mergeCell ref="E78:G78"/>
    <mergeCell ref="H78:I78"/>
    <mergeCell ref="J78:M78"/>
    <mergeCell ref="N78:Q78"/>
    <mergeCell ref="B89:E89"/>
    <mergeCell ref="F89:H89"/>
    <mergeCell ref="I89:N89"/>
    <mergeCell ref="O89:Q89"/>
    <mergeCell ref="B90:E90"/>
    <mergeCell ref="F90:H90"/>
    <mergeCell ref="I90:N90"/>
    <mergeCell ref="O90:Q90"/>
    <mergeCell ref="A83:C83"/>
    <mergeCell ref="A84:L84"/>
    <mergeCell ref="A85:C85"/>
    <mergeCell ref="A86:C86"/>
    <mergeCell ref="A88:C88"/>
    <mergeCell ref="L88:Q88"/>
    <mergeCell ref="B94:E94"/>
    <mergeCell ref="F94:H94"/>
    <mergeCell ref="I94:N94"/>
    <mergeCell ref="O94:Q94"/>
    <mergeCell ref="B95:E95"/>
    <mergeCell ref="F95:H95"/>
    <mergeCell ref="I95:N95"/>
    <mergeCell ref="O95:Q95"/>
    <mergeCell ref="B91:E91"/>
    <mergeCell ref="F91:H91"/>
    <mergeCell ref="I91:N91"/>
    <mergeCell ref="O91:Q91"/>
    <mergeCell ref="B92:E92"/>
    <mergeCell ref="F92:H92"/>
    <mergeCell ref="I92:N92"/>
    <mergeCell ref="O92:Q92"/>
    <mergeCell ref="C97:F97"/>
    <mergeCell ref="G97:H97"/>
    <mergeCell ref="I97:J97"/>
    <mergeCell ref="K97:O97"/>
    <mergeCell ref="P97:Q97"/>
    <mergeCell ref="C98:F98"/>
    <mergeCell ref="G98:H98"/>
    <mergeCell ref="I98:J98"/>
    <mergeCell ref="K98:O98"/>
    <mergeCell ref="P98:Q98"/>
    <mergeCell ref="A102:Q102"/>
    <mergeCell ref="B103:D103"/>
    <mergeCell ref="E103:G103"/>
    <mergeCell ref="H103:I103"/>
    <mergeCell ref="J103:M103"/>
    <mergeCell ref="N103:Q103"/>
    <mergeCell ref="C99:F99"/>
    <mergeCell ref="G99:H99"/>
    <mergeCell ref="I99:J99"/>
    <mergeCell ref="K99:O99"/>
    <mergeCell ref="P99:Q99"/>
    <mergeCell ref="C100:F100"/>
    <mergeCell ref="G100:H100"/>
    <mergeCell ref="I100:J100"/>
    <mergeCell ref="K100:O100"/>
    <mergeCell ref="P100:Q100"/>
    <mergeCell ref="B104:D104"/>
    <mergeCell ref="E104:G104"/>
    <mergeCell ref="H104:I104"/>
    <mergeCell ref="J104:M104"/>
    <mergeCell ref="N104:Q104"/>
    <mergeCell ref="B105:D105"/>
    <mergeCell ref="E105:G105"/>
    <mergeCell ref="H105:I105"/>
    <mergeCell ref="J105:M105"/>
    <mergeCell ref="N105:Q105"/>
    <mergeCell ref="B108:D108"/>
    <mergeCell ref="E108:G108"/>
    <mergeCell ref="H108:I108"/>
    <mergeCell ref="J108:M108"/>
    <mergeCell ref="N108:Q108"/>
    <mergeCell ref="A110:M110"/>
    <mergeCell ref="N110:Q110"/>
    <mergeCell ref="B106:D106"/>
    <mergeCell ref="E106:G106"/>
    <mergeCell ref="H106:I106"/>
    <mergeCell ref="J106:M106"/>
    <mergeCell ref="N106:Q106"/>
    <mergeCell ref="B107:D107"/>
    <mergeCell ref="E107:G107"/>
    <mergeCell ref="H107:I107"/>
    <mergeCell ref="J107:M107"/>
    <mergeCell ref="N107:Q107"/>
    <mergeCell ref="A114:M114"/>
    <mergeCell ref="N114:Q114"/>
    <mergeCell ref="A115:M115"/>
    <mergeCell ref="N115:Q115"/>
    <mergeCell ref="A116:M116"/>
    <mergeCell ref="N116:Q116"/>
    <mergeCell ref="A111:M111"/>
    <mergeCell ref="N111:Q111"/>
    <mergeCell ref="A112:M112"/>
    <mergeCell ref="N112:Q112"/>
    <mergeCell ref="A113:M113"/>
    <mergeCell ref="N113:Q113"/>
    <mergeCell ref="A121:C121"/>
    <mergeCell ref="A122:C122"/>
    <mergeCell ref="A123:L123"/>
    <mergeCell ref="A124:C124"/>
    <mergeCell ref="A125:C125"/>
    <mergeCell ref="A127:C127"/>
    <mergeCell ref="L127:Q127"/>
    <mergeCell ref="B118:G118"/>
    <mergeCell ref="H118:M118"/>
    <mergeCell ref="N118:Q118"/>
    <mergeCell ref="B119:G119"/>
    <mergeCell ref="H119:M119"/>
    <mergeCell ref="N119:Q119"/>
    <mergeCell ref="B128:D128"/>
    <mergeCell ref="E128:G128"/>
    <mergeCell ref="H128:I128"/>
    <mergeCell ref="J128:M128"/>
    <mergeCell ref="N128:Q128"/>
    <mergeCell ref="B129:D129"/>
    <mergeCell ref="E129:G129"/>
    <mergeCell ref="H129:I129"/>
    <mergeCell ref="J129:M129"/>
    <mergeCell ref="N129:Q129"/>
    <mergeCell ref="B132:D132"/>
    <mergeCell ref="E132:G132"/>
    <mergeCell ref="H132:I132"/>
    <mergeCell ref="J132:M132"/>
    <mergeCell ref="N132:Q132"/>
    <mergeCell ref="A134:Q134"/>
    <mergeCell ref="B130:D130"/>
    <mergeCell ref="E130:G130"/>
    <mergeCell ref="H130:I130"/>
    <mergeCell ref="J130:M130"/>
    <mergeCell ref="N130:Q130"/>
    <mergeCell ref="B131:D131"/>
    <mergeCell ref="E131:G131"/>
    <mergeCell ref="H131:I131"/>
    <mergeCell ref="J131:M131"/>
    <mergeCell ref="N131:Q131"/>
    <mergeCell ref="B138:G138"/>
    <mergeCell ref="H138:Q138"/>
    <mergeCell ref="B139:G139"/>
    <mergeCell ref="H139:Q139"/>
    <mergeCell ref="B140:G140"/>
    <mergeCell ref="H140:Q140"/>
    <mergeCell ref="B135:G135"/>
    <mergeCell ref="H135:Q135"/>
    <mergeCell ref="B136:G136"/>
    <mergeCell ref="H136:Q136"/>
    <mergeCell ref="B137:G137"/>
    <mergeCell ref="H137:Q137"/>
    <mergeCell ref="B144:G144"/>
    <mergeCell ref="H144:Q144"/>
    <mergeCell ref="B145:G145"/>
    <mergeCell ref="H145:Q145"/>
    <mergeCell ref="B146:G146"/>
    <mergeCell ref="H146:Q146"/>
    <mergeCell ref="B141:G141"/>
    <mergeCell ref="H141:Q141"/>
    <mergeCell ref="B142:G142"/>
    <mergeCell ref="H142:Q142"/>
    <mergeCell ref="B143:G143"/>
    <mergeCell ref="H143:Q143"/>
    <mergeCell ref="B148:D148"/>
    <mergeCell ref="E148:G148"/>
    <mergeCell ref="H148:I148"/>
    <mergeCell ref="J148:M148"/>
    <mergeCell ref="N148:Q148"/>
    <mergeCell ref="B149:D149"/>
    <mergeCell ref="E149:G149"/>
    <mergeCell ref="H149:I149"/>
    <mergeCell ref="J149:M149"/>
    <mergeCell ref="N149:Q149"/>
    <mergeCell ref="B150:D150"/>
    <mergeCell ref="E150:G150"/>
    <mergeCell ref="H150:I150"/>
    <mergeCell ref="J150:M150"/>
    <mergeCell ref="N150:Q150"/>
    <mergeCell ref="B151:D151"/>
    <mergeCell ref="E151:G151"/>
    <mergeCell ref="H151:I151"/>
    <mergeCell ref="J151:M151"/>
    <mergeCell ref="N151:Q151"/>
    <mergeCell ref="B152:D152"/>
    <mergeCell ref="E152:G152"/>
    <mergeCell ref="H152:I152"/>
    <mergeCell ref="J152:M152"/>
    <mergeCell ref="N152:Q152"/>
    <mergeCell ref="B153:D153"/>
    <mergeCell ref="E153:G153"/>
    <mergeCell ref="H153:I153"/>
    <mergeCell ref="J153:M153"/>
    <mergeCell ref="N153:Q153"/>
    <mergeCell ref="B154:D154"/>
    <mergeCell ref="E154:G154"/>
    <mergeCell ref="H154:I154"/>
    <mergeCell ref="J154:M154"/>
    <mergeCell ref="N154:Q154"/>
    <mergeCell ref="B155:D155"/>
    <mergeCell ref="E155:G155"/>
    <mergeCell ref="H155:I155"/>
    <mergeCell ref="J155:M155"/>
    <mergeCell ref="N155:Q155"/>
    <mergeCell ref="A160:C160"/>
    <mergeCell ref="A161:L161"/>
    <mergeCell ref="A162:C162"/>
    <mergeCell ref="A163:C163"/>
    <mergeCell ref="A165:C165"/>
    <mergeCell ref="L165:Q165"/>
    <mergeCell ref="B156:D156"/>
    <mergeCell ref="E156:G156"/>
    <mergeCell ref="H156:I156"/>
    <mergeCell ref="J156:M156"/>
    <mergeCell ref="N156:Q156"/>
    <mergeCell ref="A159:C159"/>
    <mergeCell ref="B166:D166"/>
    <mergeCell ref="E166:G166"/>
    <mergeCell ref="H166:I166"/>
    <mergeCell ref="J166:M166"/>
    <mergeCell ref="N166:Q166"/>
    <mergeCell ref="B167:D167"/>
    <mergeCell ref="E167:G167"/>
    <mergeCell ref="H167:I167"/>
    <mergeCell ref="J167:M167"/>
    <mergeCell ref="N167:Q167"/>
    <mergeCell ref="B168:D168"/>
    <mergeCell ref="E168:G168"/>
    <mergeCell ref="H168:I168"/>
    <mergeCell ref="J168:M168"/>
    <mergeCell ref="N168:Q168"/>
    <mergeCell ref="B169:D169"/>
    <mergeCell ref="E169:G169"/>
    <mergeCell ref="H169:I169"/>
    <mergeCell ref="J169:M169"/>
    <mergeCell ref="N169:Q169"/>
    <mergeCell ref="B170:D170"/>
    <mergeCell ref="E170:G170"/>
    <mergeCell ref="H170:I170"/>
    <mergeCell ref="J170:M170"/>
    <mergeCell ref="N170:Q170"/>
    <mergeCell ref="B171:D171"/>
    <mergeCell ref="E171:G171"/>
    <mergeCell ref="H171:I171"/>
    <mergeCell ref="J171:M171"/>
    <mergeCell ref="N171:Q171"/>
    <mergeCell ref="B172:D172"/>
    <mergeCell ref="E172:G172"/>
    <mergeCell ref="H172:I172"/>
    <mergeCell ref="J172:M172"/>
    <mergeCell ref="N172:Q172"/>
    <mergeCell ref="B173:D173"/>
    <mergeCell ref="E173:G173"/>
    <mergeCell ref="H173:I173"/>
    <mergeCell ref="J173:M173"/>
    <mergeCell ref="N173:Q173"/>
    <mergeCell ref="B177:G177"/>
    <mergeCell ref="H177:Q177"/>
    <mergeCell ref="B178:G178"/>
    <mergeCell ref="H178:Q178"/>
    <mergeCell ref="B179:G179"/>
    <mergeCell ref="H179:Q179"/>
    <mergeCell ref="B174:D174"/>
    <mergeCell ref="E174:G174"/>
    <mergeCell ref="H174:I174"/>
    <mergeCell ref="J174:M174"/>
    <mergeCell ref="N174:Q174"/>
    <mergeCell ref="B175:D175"/>
    <mergeCell ref="E175:G175"/>
    <mergeCell ref="H175:I175"/>
    <mergeCell ref="J175:M175"/>
    <mergeCell ref="N175:Q175"/>
    <mergeCell ref="B183:G183"/>
    <mergeCell ref="H183:Q183"/>
    <mergeCell ref="B184:G184"/>
    <mergeCell ref="H184:Q184"/>
    <mergeCell ref="A185:Q185"/>
    <mergeCell ref="A186:Q186"/>
    <mergeCell ref="B180:G180"/>
    <mergeCell ref="H180:Q180"/>
    <mergeCell ref="B181:G181"/>
    <mergeCell ref="H181:Q181"/>
    <mergeCell ref="B182:G182"/>
    <mergeCell ref="H182:Q18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I193"/>
  <sheetViews>
    <sheetView workbookViewId="0">
      <selection sqref="A1:XFD1048576"/>
    </sheetView>
  </sheetViews>
  <sheetFormatPr defaultRowHeight="15"/>
  <cols>
    <col min="1" max="1" width="5" customWidth="1"/>
    <col min="2" max="3" width="11.140625" customWidth="1"/>
    <col min="4" max="4" width="11" customWidth="1"/>
    <col min="5" max="5" width="8.140625" customWidth="1"/>
    <col min="6" max="6" width="3.140625" customWidth="1"/>
    <col min="7" max="7" width="10.140625" customWidth="1"/>
    <col min="8" max="8" width="0.85546875" customWidth="1"/>
    <col min="9" max="9" width="1" customWidth="1"/>
    <col min="10" max="10" width="7" customWidth="1"/>
    <col min="11" max="11" width="1" customWidth="1"/>
    <col min="12" max="12" width="3.140625" customWidth="1"/>
    <col min="13" max="13" width="2" customWidth="1"/>
    <col min="14" max="14" width="1" customWidth="1"/>
    <col min="15" max="15" width="8.140625" customWidth="1"/>
    <col min="16" max="16" width="0.85546875" customWidth="1"/>
    <col min="17" max="17" width="3.140625" customWidth="1"/>
    <col min="18" max="18" width="2" customWidth="1"/>
    <col min="19" max="19" width="5" customWidth="1"/>
    <col min="20" max="20" width="1" customWidth="1"/>
    <col min="21" max="21" width="3.140625" customWidth="1"/>
    <col min="22" max="22" width="1" customWidth="1"/>
    <col min="23" max="23" width="4" customWidth="1"/>
    <col min="24" max="25" width="1" customWidth="1"/>
    <col min="26" max="26" width="4" customWidth="1"/>
    <col min="27" max="28" width="1" customWidth="1"/>
    <col min="29" max="29" width="5" customWidth="1"/>
    <col min="30" max="30" width="2" customWidth="1"/>
    <col min="31" max="31" width="4.140625" customWidth="1"/>
    <col min="32" max="32" width="1" customWidth="1"/>
    <col min="33" max="33" width="4" customWidth="1"/>
    <col min="34" max="34" width="11.140625" customWidth="1"/>
    <col min="35" max="35" width="0.5703125" customWidth="1"/>
  </cols>
  <sheetData>
    <row r="1" spans="1:35" ht="11.85" customHeight="1">
      <c r="A1" s="615" t="s">
        <v>1332</v>
      </c>
      <c r="B1" s="615"/>
      <c r="C1" s="615"/>
      <c r="D1" s="615"/>
      <c r="E1" s="615"/>
      <c r="F1" s="615"/>
      <c r="G1" s="615"/>
      <c r="AH1" s="448" t="s">
        <v>1817</v>
      </c>
    </row>
    <row r="2" spans="1:35" ht="11.1" customHeight="1">
      <c r="A2" s="615" t="s">
        <v>1206</v>
      </c>
      <c r="B2" s="615"/>
      <c r="C2" s="615"/>
      <c r="D2" s="615"/>
      <c r="E2" s="615"/>
      <c r="F2" s="615"/>
      <c r="G2" s="615"/>
    </row>
    <row r="3" spans="1:35" ht="11.85" customHeight="1">
      <c r="A3" s="619" t="s">
        <v>2336</v>
      </c>
      <c r="B3" s="619"/>
      <c r="C3" s="619"/>
      <c r="D3" s="619"/>
      <c r="E3" s="619"/>
      <c r="F3" s="619"/>
      <c r="G3" s="619"/>
    </row>
    <row r="4" spans="1:35" ht="11.85" customHeight="1">
      <c r="A4" s="615" t="s">
        <v>1335</v>
      </c>
      <c r="B4" s="615"/>
      <c r="C4" s="615"/>
      <c r="D4" s="615"/>
      <c r="E4" s="615"/>
      <c r="F4" s="615"/>
      <c r="G4" s="615"/>
    </row>
    <row r="5" spans="1:35" ht="11.85" customHeight="1">
      <c r="A5" s="615" t="s">
        <v>1209</v>
      </c>
      <c r="B5" s="615"/>
      <c r="C5" s="615"/>
      <c r="D5" s="615"/>
      <c r="E5" s="615"/>
      <c r="F5" s="615"/>
      <c r="G5" s="615"/>
    </row>
    <row r="6" spans="1:35" ht="5.85" customHeight="1"/>
    <row r="7" spans="1:35" ht="11.1" customHeight="1">
      <c r="A7" s="616" t="s">
        <v>2337</v>
      </c>
      <c r="B7" s="616"/>
      <c r="C7" s="616"/>
      <c r="D7" s="616"/>
      <c r="E7" s="616"/>
      <c r="F7" s="616"/>
      <c r="G7" s="616"/>
      <c r="H7" s="449"/>
      <c r="I7" s="449"/>
      <c r="J7" s="449"/>
      <c r="K7" s="449"/>
      <c r="L7" s="449"/>
      <c r="M7" s="449"/>
      <c r="N7" s="449"/>
      <c r="O7" s="449"/>
      <c r="P7" s="449"/>
      <c r="Q7" s="449"/>
      <c r="R7" s="449"/>
      <c r="S7" s="449"/>
      <c r="T7" s="449"/>
      <c r="U7" s="449"/>
      <c r="V7" s="449"/>
      <c r="W7" s="449"/>
      <c r="X7" s="449"/>
      <c r="Y7" s="449"/>
      <c r="Z7" s="449"/>
      <c r="AA7" s="449"/>
      <c r="AB7" s="449"/>
      <c r="AC7" s="449"/>
      <c r="AD7" s="449"/>
      <c r="AE7" s="449"/>
      <c r="AF7" s="449"/>
      <c r="AG7" s="449"/>
      <c r="AH7" s="449"/>
      <c r="AI7" s="449"/>
    </row>
    <row r="8" spans="1:35" ht="11.85" customHeight="1">
      <c r="A8" s="609" t="s">
        <v>2338</v>
      </c>
      <c r="B8" s="733"/>
      <c r="C8" s="733"/>
      <c r="D8" s="733"/>
      <c r="E8" s="733"/>
      <c r="F8" s="733"/>
      <c r="G8" s="733"/>
      <c r="H8" s="733"/>
      <c r="I8" s="734"/>
      <c r="J8" s="597" t="s">
        <v>1337</v>
      </c>
      <c r="K8" s="728"/>
      <c r="L8" s="728"/>
      <c r="M8" s="728"/>
      <c r="N8" s="728"/>
      <c r="O8" s="728"/>
      <c r="P8" s="599"/>
      <c r="Q8" s="597" t="s">
        <v>1338</v>
      </c>
      <c r="R8" s="728"/>
      <c r="S8" s="728"/>
      <c r="T8" s="728"/>
      <c r="U8" s="728"/>
      <c r="V8" s="728"/>
      <c r="W8" s="728"/>
      <c r="X8" s="599"/>
      <c r="Y8" s="611" t="s">
        <v>1339</v>
      </c>
      <c r="Z8" s="612"/>
      <c r="AA8" s="612"/>
      <c r="AB8" s="612"/>
      <c r="AC8" s="612"/>
      <c r="AD8" s="612"/>
      <c r="AE8" s="612"/>
      <c r="AF8" s="612"/>
      <c r="AG8" s="612"/>
      <c r="AH8" s="612"/>
      <c r="AI8" s="613"/>
    </row>
    <row r="9" spans="1:35" ht="17.850000000000001" customHeight="1">
      <c r="A9" s="735"/>
      <c r="B9" s="736"/>
      <c r="C9" s="736"/>
      <c r="D9" s="736"/>
      <c r="E9" s="736"/>
      <c r="F9" s="736"/>
      <c r="G9" s="736"/>
      <c r="H9" s="736"/>
      <c r="I9" s="737"/>
      <c r="J9" s="600"/>
      <c r="K9" s="729"/>
      <c r="L9" s="729"/>
      <c r="M9" s="729"/>
      <c r="N9" s="729"/>
      <c r="O9" s="729"/>
      <c r="P9" s="601"/>
      <c r="Q9" s="600"/>
      <c r="R9" s="729"/>
      <c r="S9" s="729"/>
      <c r="T9" s="729"/>
      <c r="U9" s="729"/>
      <c r="V9" s="729"/>
      <c r="W9" s="729"/>
      <c r="X9" s="601"/>
      <c r="Y9" s="597" t="s">
        <v>2339</v>
      </c>
      <c r="Z9" s="602"/>
      <c r="AA9" s="602"/>
      <c r="AB9" s="602"/>
      <c r="AC9" s="602"/>
      <c r="AD9" s="602"/>
      <c r="AE9" s="603"/>
      <c r="AF9" s="597" t="s">
        <v>2340</v>
      </c>
      <c r="AG9" s="602"/>
      <c r="AH9" s="602"/>
      <c r="AI9" s="603"/>
    </row>
    <row r="10" spans="1:35" ht="11.1" customHeight="1">
      <c r="A10" s="764" t="s">
        <v>2341</v>
      </c>
      <c r="B10" s="765"/>
      <c r="C10" s="765"/>
      <c r="D10" s="765"/>
      <c r="E10" s="765"/>
      <c r="F10" s="765"/>
      <c r="G10" s="765"/>
      <c r="H10" s="765"/>
      <c r="I10" s="766"/>
      <c r="J10" s="606" t="s">
        <v>1368</v>
      </c>
      <c r="K10" s="607"/>
      <c r="L10" s="607"/>
      <c r="M10" s="607"/>
      <c r="N10" s="607"/>
      <c r="O10" s="607"/>
      <c r="P10" s="608"/>
      <c r="Q10" s="606" t="s">
        <v>1368</v>
      </c>
      <c r="R10" s="607"/>
      <c r="S10" s="607"/>
      <c r="T10" s="607"/>
      <c r="U10" s="607"/>
      <c r="V10" s="607"/>
      <c r="W10" s="607"/>
      <c r="X10" s="608"/>
      <c r="Y10" s="606" t="s">
        <v>1371</v>
      </c>
      <c r="Z10" s="607"/>
      <c r="AA10" s="607"/>
      <c r="AB10" s="607"/>
      <c r="AC10" s="607"/>
      <c r="AD10" s="607"/>
      <c r="AE10" s="608"/>
      <c r="AF10" s="606" t="s">
        <v>1372</v>
      </c>
      <c r="AG10" s="607"/>
      <c r="AH10" s="607"/>
      <c r="AI10" s="608"/>
    </row>
    <row r="11" spans="1:35" ht="11.85" customHeight="1">
      <c r="A11" s="761" t="s">
        <v>2342</v>
      </c>
      <c r="B11" s="762"/>
      <c r="C11" s="762"/>
      <c r="D11" s="762"/>
      <c r="E11" s="762"/>
      <c r="F11" s="762"/>
      <c r="G11" s="762"/>
      <c r="H11" s="762"/>
      <c r="I11" s="763"/>
      <c r="J11" s="589" t="s">
        <v>1967</v>
      </c>
      <c r="K11" s="590"/>
      <c r="L11" s="590"/>
      <c r="M11" s="590"/>
      <c r="N11" s="590"/>
      <c r="O11" s="590"/>
      <c r="P11" s="591"/>
      <c r="Q11" s="589" t="s">
        <v>1967</v>
      </c>
      <c r="R11" s="590"/>
      <c r="S11" s="590"/>
      <c r="T11" s="590"/>
      <c r="U11" s="590"/>
      <c r="V11" s="590"/>
      <c r="W11" s="590"/>
      <c r="X11" s="591"/>
      <c r="Y11" s="589" t="s">
        <v>1968</v>
      </c>
      <c r="Z11" s="590"/>
      <c r="AA11" s="590"/>
      <c r="AB11" s="590"/>
      <c r="AC11" s="590"/>
      <c r="AD11" s="590"/>
      <c r="AE11" s="591"/>
      <c r="AF11" s="589" t="s">
        <v>2343</v>
      </c>
      <c r="AG11" s="590"/>
      <c r="AH11" s="590"/>
      <c r="AI11" s="591"/>
    </row>
    <row r="12" spans="1:35" ht="11.85" customHeight="1">
      <c r="A12" s="674" t="s">
        <v>236</v>
      </c>
      <c r="B12" s="675"/>
      <c r="C12" s="675"/>
      <c r="D12" s="675"/>
      <c r="E12" s="675"/>
      <c r="F12" s="675"/>
      <c r="G12" s="675"/>
      <c r="H12" s="675"/>
      <c r="I12" s="676"/>
      <c r="J12" s="589" t="s">
        <v>2344</v>
      </c>
      <c r="K12" s="590"/>
      <c r="L12" s="590"/>
      <c r="M12" s="590"/>
      <c r="N12" s="590"/>
      <c r="O12" s="590"/>
      <c r="P12" s="591"/>
      <c r="Q12" s="589" t="s">
        <v>2344</v>
      </c>
      <c r="R12" s="590"/>
      <c r="S12" s="590"/>
      <c r="T12" s="590"/>
      <c r="U12" s="590"/>
      <c r="V12" s="590"/>
      <c r="W12" s="590"/>
      <c r="X12" s="591"/>
      <c r="Y12" s="589" t="s">
        <v>2345</v>
      </c>
      <c r="Z12" s="590"/>
      <c r="AA12" s="590"/>
      <c r="AB12" s="590"/>
      <c r="AC12" s="590"/>
      <c r="AD12" s="590"/>
      <c r="AE12" s="591"/>
      <c r="AF12" s="589" t="s">
        <v>2346</v>
      </c>
      <c r="AG12" s="590"/>
      <c r="AH12" s="590"/>
      <c r="AI12" s="591"/>
    </row>
    <row r="13" spans="1:35" ht="11.85" customHeight="1">
      <c r="A13" s="674" t="s">
        <v>2347</v>
      </c>
      <c r="B13" s="675"/>
      <c r="C13" s="675"/>
      <c r="D13" s="675"/>
      <c r="E13" s="675"/>
      <c r="F13" s="675"/>
      <c r="G13" s="675"/>
      <c r="H13" s="675"/>
      <c r="I13" s="676"/>
      <c r="J13" s="589" t="s">
        <v>2348</v>
      </c>
      <c r="K13" s="590"/>
      <c r="L13" s="590"/>
      <c r="M13" s="590"/>
      <c r="N13" s="590"/>
      <c r="O13" s="590"/>
      <c r="P13" s="591"/>
      <c r="Q13" s="589" t="s">
        <v>2348</v>
      </c>
      <c r="R13" s="590"/>
      <c r="S13" s="590"/>
      <c r="T13" s="590"/>
      <c r="U13" s="590"/>
      <c r="V13" s="590"/>
      <c r="W13" s="590"/>
      <c r="X13" s="591"/>
      <c r="Y13" s="589" t="s">
        <v>2349</v>
      </c>
      <c r="Z13" s="590"/>
      <c r="AA13" s="590"/>
      <c r="AB13" s="590"/>
      <c r="AC13" s="590"/>
      <c r="AD13" s="590"/>
      <c r="AE13" s="591"/>
      <c r="AF13" s="589" t="s">
        <v>1379</v>
      </c>
      <c r="AG13" s="590"/>
      <c r="AH13" s="590"/>
      <c r="AI13" s="591"/>
    </row>
    <row r="14" spans="1:35" ht="11.1" customHeight="1">
      <c r="A14" s="761" t="s">
        <v>2350</v>
      </c>
      <c r="B14" s="762"/>
      <c r="C14" s="762"/>
      <c r="D14" s="762"/>
      <c r="E14" s="762"/>
      <c r="F14" s="762"/>
      <c r="G14" s="762"/>
      <c r="H14" s="762"/>
      <c r="I14" s="763"/>
      <c r="J14" s="589" t="s">
        <v>1970</v>
      </c>
      <c r="K14" s="590"/>
      <c r="L14" s="590"/>
      <c r="M14" s="590"/>
      <c r="N14" s="590"/>
      <c r="O14" s="590"/>
      <c r="P14" s="591"/>
      <c r="Q14" s="589" t="s">
        <v>1970</v>
      </c>
      <c r="R14" s="590"/>
      <c r="S14" s="590"/>
      <c r="T14" s="590"/>
      <c r="U14" s="590"/>
      <c r="V14" s="590"/>
      <c r="W14" s="590"/>
      <c r="X14" s="591"/>
      <c r="Y14" s="589" t="s">
        <v>1971</v>
      </c>
      <c r="Z14" s="590"/>
      <c r="AA14" s="590"/>
      <c r="AB14" s="590"/>
      <c r="AC14" s="590"/>
      <c r="AD14" s="590"/>
      <c r="AE14" s="591"/>
      <c r="AF14" s="589" t="s">
        <v>2351</v>
      </c>
      <c r="AG14" s="590"/>
      <c r="AH14" s="590"/>
      <c r="AI14" s="591"/>
    </row>
    <row r="15" spans="1:35" ht="11.85" customHeight="1">
      <c r="A15" s="674" t="s">
        <v>238</v>
      </c>
      <c r="B15" s="675"/>
      <c r="C15" s="675"/>
      <c r="D15" s="675"/>
      <c r="E15" s="675"/>
      <c r="F15" s="675"/>
      <c r="G15" s="675"/>
      <c r="H15" s="675"/>
      <c r="I15" s="676"/>
      <c r="J15" s="589" t="s">
        <v>2352</v>
      </c>
      <c r="K15" s="590"/>
      <c r="L15" s="590"/>
      <c r="M15" s="590"/>
      <c r="N15" s="590"/>
      <c r="O15" s="590"/>
      <c r="P15" s="591"/>
      <c r="Q15" s="589" t="s">
        <v>2352</v>
      </c>
      <c r="R15" s="590"/>
      <c r="S15" s="590"/>
      <c r="T15" s="590"/>
      <c r="U15" s="590"/>
      <c r="V15" s="590"/>
      <c r="W15" s="590"/>
      <c r="X15" s="591"/>
      <c r="Y15" s="589" t="s">
        <v>1971</v>
      </c>
      <c r="Z15" s="590"/>
      <c r="AA15" s="590"/>
      <c r="AB15" s="590"/>
      <c r="AC15" s="590"/>
      <c r="AD15" s="590"/>
      <c r="AE15" s="591"/>
      <c r="AF15" s="589" t="s">
        <v>2353</v>
      </c>
      <c r="AG15" s="590"/>
      <c r="AH15" s="590"/>
      <c r="AI15" s="591"/>
    </row>
    <row r="16" spans="1:35" ht="11.85" customHeight="1">
      <c r="A16" s="674" t="s">
        <v>2354</v>
      </c>
      <c r="B16" s="675"/>
      <c r="C16" s="675"/>
      <c r="D16" s="675"/>
      <c r="E16" s="675"/>
      <c r="F16" s="675"/>
      <c r="G16" s="675"/>
      <c r="H16" s="675"/>
      <c r="I16" s="676"/>
      <c r="J16" s="589" t="s">
        <v>2355</v>
      </c>
      <c r="K16" s="590"/>
      <c r="L16" s="590"/>
      <c r="M16" s="590"/>
      <c r="N16" s="590"/>
      <c r="O16" s="590"/>
      <c r="P16" s="591"/>
      <c r="Q16" s="589" t="s">
        <v>2355</v>
      </c>
      <c r="R16" s="590"/>
      <c r="S16" s="590"/>
      <c r="T16" s="590"/>
      <c r="U16" s="590"/>
      <c r="V16" s="590"/>
      <c r="W16" s="590"/>
      <c r="X16" s="591"/>
      <c r="Y16" s="589" t="s">
        <v>1219</v>
      </c>
      <c r="Z16" s="590"/>
      <c r="AA16" s="590"/>
      <c r="AB16" s="590"/>
      <c r="AC16" s="590"/>
      <c r="AD16" s="590"/>
      <c r="AE16" s="591"/>
      <c r="AF16" s="589" t="s">
        <v>1219</v>
      </c>
      <c r="AG16" s="590"/>
      <c r="AH16" s="590"/>
      <c r="AI16" s="591"/>
    </row>
    <row r="17" spans="1:35" ht="11.85" customHeight="1">
      <c r="A17" s="761" t="s">
        <v>2356</v>
      </c>
      <c r="B17" s="762"/>
      <c r="C17" s="762"/>
      <c r="D17" s="762"/>
      <c r="E17" s="762"/>
      <c r="F17" s="762"/>
      <c r="G17" s="762"/>
      <c r="H17" s="762"/>
      <c r="I17" s="763"/>
      <c r="J17" s="589" t="s">
        <v>1973</v>
      </c>
      <c r="K17" s="590"/>
      <c r="L17" s="590"/>
      <c r="M17" s="590"/>
      <c r="N17" s="590"/>
      <c r="O17" s="590"/>
      <c r="P17" s="591"/>
      <c r="Q17" s="589" t="s">
        <v>1973</v>
      </c>
      <c r="R17" s="590"/>
      <c r="S17" s="590"/>
      <c r="T17" s="590"/>
      <c r="U17" s="590"/>
      <c r="V17" s="590"/>
      <c r="W17" s="590"/>
      <c r="X17" s="591"/>
      <c r="Y17" s="589" t="s">
        <v>1974</v>
      </c>
      <c r="Z17" s="590"/>
      <c r="AA17" s="590"/>
      <c r="AB17" s="590"/>
      <c r="AC17" s="590"/>
      <c r="AD17" s="590"/>
      <c r="AE17" s="591"/>
      <c r="AF17" s="589" t="s">
        <v>2357</v>
      </c>
      <c r="AG17" s="590"/>
      <c r="AH17" s="590"/>
      <c r="AI17" s="591"/>
    </row>
    <row r="18" spans="1:35" ht="11.1" customHeight="1">
      <c r="A18" s="674" t="s">
        <v>2358</v>
      </c>
      <c r="B18" s="675"/>
      <c r="C18" s="675"/>
      <c r="D18" s="675"/>
      <c r="E18" s="675"/>
      <c r="F18" s="675"/>
      <c r="G18" s="675"/>
      <c r="H18" s="675"/>
      <c r="I18" s="676"/>
      <c r="J18" s="589" t="s">
        <v>2359</v>
      </c>
      <c r="K18" s="590"/>
      <c r="L18" s="590"/>
      <c r="M18" s="590"/>
      <c r="N18" s="590"/>
      <c r="O18" s="590"/>
      <c r="P18" s="591"/>
      <c r="Q18" s="589" t="s">
        <v>2359</v>
      </c>
      <c r="R18" s="590"/>
      <c r="S18" s="590"/>
      <c r="T18" s="590"/>
      <c r="U18" s="590"/>
      <c r="V18" s="590"/>
      <c r="W18" s="590"/>
      <c r="X18" s="591"/>
      <c r="Y18" s="589" t="s">
        <v>2360</v>
      </c>
      <c r="Z18" s="590"/>
      <c r="AA18" s="590"/>
      <c r="AB18" s="590"/>
      <c r="AC18" s="590"/>
      <c r="AD18" s="590"/>
      <c r="AE18" s="591"/>
      <c r="AF18" s="589" t="s">
        <v>2361</v>
      </c>
      <c r="AG18" s="590"/>
      <c r="AH18" s="590"/>
      <c r="AI18" s="591"/>
    </row>
    <row r="19" spans="1:35" ht="11.85" customHeight="1">
      <c r="A19" s="674" t="s">
        <v>2362</v>
      </c>
      <c r="B19" s="675"/>
      <c r="C19" s="675"/>
      <c r="D19" s="675"/>
      <c r="E19" s="675"/>
      <c r="F19" s="675"/>
      <c r="G19" s="675"/>
      <c r="H19" s="675"/>
      <c r="I19" s="676"/>
      <c r="J19" s="589" t="s">
        <v>2363</v>
      </c>
      <c r="K19" s="590"/>
      <c r="L19" s="590"/>
      <c r="M19" s="590"/>
      <c r="N19" s="590"/>
      <c r="O19" s="590"/>
      <c r="P19" s="591"/>
      <c r="Q19" s="589" t="s">
        <v>2363</v>
      </c>
      <c r="R19" s="590"/>
      <c r="S19" s="590"/>
      <c r="T19" s="590"/>
      <c r="U19" s="590"/>
      <c r="V19" s="590"/>
      <c r="W19" s="590"/>
      <c r="X19" s="591"/>
      <c r="Y19" s="589" t="s">
        <v>2364</v>
      </c>
      <c r="Z19" s="590"/>
      <c r="AA19" s="590"/>
      <c r="AB19" s="590"/>
      <c r="AC19" s="590"/>
      <c r="AD19" s="590"/>
      <c r="AE19" s="591"/>
      <c r="AF19" s="589" t="s">
        <v>2365</v>
      </c>
      <c r="AG19" s="590"/>
      <c r="AH19" s="590"/>
      <c r="AI19" s="591"/>
    </row>
    <row r="20" spans="1:35" ht="11.85" customHeight="1">
      <c r="A20" s="761" t="s">
        <v>2366</v>
      </c>
      <c r="B20" s="762"/>
      <c r="C20" s="762"/>
      <c r="D20" s="762"/>
      <c r="E20" s="762"/>
      <c r="F20" s="762"/>
      <c r="G20" s="762"/>
      <c r="H20" s="762"/>
      <c r="I20" s="763"/>
      <c r="J20" s="589" t="s">
        <v>1976</v>
      </c>
      <c r="K20" s="590"/>
      <c r="L20" s="590"/>
      <c r="M20" s="590"/>
      <c r="N20" s="590"/>
      <c r="O20" s="590"/>
      <c r="P20" s="591"/>
      <c r="Q20" s="589" t="s">
        <v>1976</v>
      </c>
      <c r="R20" s="590"/>
      <c r="S20" s="590"/>
      <c r="T20" s="590"/>
      <c r="U20" s="590"/>
      <c r="V20" s="590"/>
      <c r="W20" s="590"/>
      <c r="X20" s="591"/>
      <c r="Y20" s="589" t="s">
        <v>1977</v>
      </c>
      <c r="Z20" s="590"/>
      <c r="AA20" s="590"/>
      <c r="AB20" s="590"/>
      <c r="AC20" s="590"/>
      <c r="AD20" s="590"/>
      <c r="AE20" s="591"/>
      <c r="AF20" s="589" t="s">
        <v>2367</v>
      </c>
      <c r="AG20" s="590"/>
      <c r="AH20" s="590"/>
      <c r="AI20" s="591"/>
    </row>
    <row r="21" spans="1:35" ht="11.85" customHeight="1">
      <c r="A21" s="761" t="s">
        <v>2368</v>
      </c>
      <c r="B21" s="762"/>
      <c r="C21" s="762"/>
      <c r="D21" s="762"/>
      <c r="E21" s="762"/>
      <c r="F21" s="762"/>
      <c r="G21" s="762"/>
      <c r="H21" s="762"/>
      <c r="I21" s="763"/>
      <c r="J21" s="589" t="s">
        <v>1219</v>
      </c>
      <c r="K21" s="590"/>
      <c r="L21" s="590"/>
      <c r="M21" s="590"/>
      <c r="N21" s="590"/>
      <c r="O21" s="590"/>
      <c r="P21" s="591"/>
      <c r="Q21" s="589" t="s">
        <v>1219</v>
      </c>
      <c r="R21" s="590"/>
      <c r="S21" s="590"/>
      <c r="T21" s="590"/>
      <c r="U21" s="590"/>
      <c r="V21" s="590"/>
      <c r="W21" s="590"/>
      <c r="X21" s="591"/>
      <c r="Y21" s="589" t="s">
        <v>1219</v>
      </c>
      <c r="Z21" s="590"/>
      <c r="AA21" s="590"/>
      <c r="AB21" s="590"/>
      <c r="AC21" s="590"/>
      <c r="AD21" s="590"/>
      <c r="AE21" s="591"/>
      <c r="AF21" s="589" t="s">
        <v>1219</v>
      </c>
      <c r="AG21" s="590"/>
      <c r="AH21" s="590"/>
      <c r="AI21" s="591"/>
    </row>
    <row r="22" spans="1:35" ht="11.1" customHeight="1">
      <c r="A22" s="674" t="s">
        <v>2369</v>
      </c>
      <c r="B22" s="675"/>
      <c r="C22" s="675"/>
      <c r="D22" s="675"/>
      <c r="E22" s="675"/>
      <c r="F22" s="675"/>
      <c r="G22" s="675"/>
      <c r="H22" s="675"/>
      <c r="I22" s="676"/>
      <c r="J22" s="589" t="s">
        <v>1219</v>
      </c>
      <c r="K22" s="590"/>
      <c r="L22" s="590"/>
      <c r="M22" s="590"/>
      <c r="N22" s="590"/>
      <c r="O22" s="590"/>
      <c r="P22" s="591"/>
      <c r="Q22" s="589" t="s">
        <v>1219</v>
      </c>
      <c r="R22" s="590"/>
      <c r="S22" s="590"/>
      <c r="T22" s="590"/>
      <c r="U22" s="590"/>
      <c r="V22" s="590"/>
      <c r="W22" s="590"/>
      <c r="X22" s="591"/>
      <c r="Y22" s="589" t="s">
        <v>1219</v>
      </c>
      <c r="Z22" s="590"/>
      <c r="AA22" s="590"/>
      <c r="AB22" s="590"/>
      <c r="AC22" s="590"/>
      <c r="AD22" s="590"/>
      <c r="AE22" s="591"/>
      <c r="AF22" s="589" t="s">
        <v>1219</v>
      </c>
      <c r="AG22" s="590"/>
      <c r="AH22" s="590"/>
      <c r="AI22" s="591"/>
    </row>
    <row r="23" spans="1:35" ht="11.85" customHeight="1">
      <c r="A23" s="674" t="s">
        <v>2370</v>
      </c>
      <c r="B23" s="675"/>
      <c r="C23" s="675"/>
      <c r="D23" s="675"/>
      <c r="E23" s="675"/>
      <c r="F23" s="675"/>
      <c r="G23" s="675"/>
      <c r="H23" s="675"/>
      <c r="I23" s="676"/>
      <c r="J23" s="589" t="s">
        <v>1219</v>
      </c>
      <c r="K23" s="590"/>
      <c r="L23" s="590"/>
      <c r="M23" s="590"/>
      <c r="N23" s="590"/>
      <c r="O23" s="590"/>
      <c r="P23" s="591"/>
      <c r="Q23" s="589" t="s">
        <v>1219</v>
      </c>
      <c r="R23" s="590"/>
      <c r="S23" s="590"/>
      <c r="T23" s="590"/>
      <c r="U23" s="590"/>
      <c r="V23" s="590"/>
      <c r="W23" s="590"/>
      <c r="X23" s="591"/>
      <c r="Y23" s="589" t="s">
        <v>1219</v>
      </c>
      <c r="Z23" s="590"/>
      <c r="AA23" s="590"/>
      <c r="AB23" s="590"/>
      <c r="AC23" s="590"/>
      <c r="AD23" s="590"/>
      <c r="AE23" s="591"/>
      <c r="AF23" s="589" t="s">
        <v>1219</v>
      </c>
      <c r="AG23" s="590"/>
      <c r="AH23" s="590"/>
      <c r="AI23" s="591"/>
    </row>
    <row r="24" spans="1:35" ht="11.85" customHeight="1">
      <c r="A24" s="674" t="s">
        <v>2371</v>
      </c>
      <c r="B24" s="675"/>
      <c r="C24" s="675"/>
      <c r="D24" s="675"/>
      <c r="E24" s="675"/>
      <c r="F24" s="675"/>
      <c r="G24" s="675"/>
      <c r="H24" s="675"/>
      <c r="I24" s="676"/>
      <c r="J24" s="589" t="s">
        <v>1219</v>
      </c>
      <c r="K24" s="590"/>
      <c r="L24" s="590"/>
      <c r="M24" s="590"/>
      <c r="N24" s="590"/>
      <c r="O24" s="590"/>
      <c r="P24" s="591"/>
      <c r="Q24" s="589" t="s">
        <v>1219</v>
      </c>
      <c r="R24" s="590"/>
      <c r="S24" s="590"/>
      <c r="T24" s="590"/>
      <c r="U24" s="590"/>
      <c r="V24" s="590"/>
      <c r="W24" s="590"/>
      <c r="X24" s="591"/>
      <c r="Y24" s="589" t="s">
        <v>1219</v>
      </c>
      <c r="Z24" s="590"/>
      <c r="AA24" s="590"/>
      <c r="AB24" s="590"/>
      <c r="AC24" s="590"/>
      <c r="AD24" s="590"/>
      <c r="AE24" s="591"/>
      <c r="AF24" s="589" t="s">
        <v>1219</v>
      </c>
      <c r="AG24" s="590"/>
      <c r="AH24" s="590"/>
      <c r="AI24" s="591"/>
    </row>
    <row r="25" spans="1:35" ht="11.85" customHeight="1">
      <c r="A25" s="674" t="s">
        <v>2372</v>
      </c>
      <c r="B25" s="675"/>
      <c r="C25" s="675"/>
      <c r="D25" s="675"/>
      <c r="E25" s="675"/>
      <c r="F25" s="675"/>
      <c r="G25" s="675"/>
      <c r="H25" s="675"/>
      <c r="I25" s="676"/>
      <c r="J25" s="589" t="s">
        <v>1219</v>
      </c>
      <c r="K25" s="590"/>
      <c r="L25" s="590"/>
      <c r="M25" s="590"/>
      <c r="N25" s="590"/>
      <c r="O25" s="590"/>
      <c r="P25" s="591"/>
      <c r="Q25" s="589" t="s">
        <v>1219</v>
      </c>
      <c r="R25" s="590"/>
      <c r="S25" s="590"/>
      <c r="T25" s="590"/>
      <c r="U25" s="590"/>
      <c r="V25" s="590"/>
      <c r="W25" s="590"/>
      <c r="X25" s="591"/>
      <c r="Y25" s="589" t="s">
        <v>1219</v>
      </c>
      <c r="Z25" s="590"/>
      <c r="AA25" s="590"/>
      <c r="AB25" s="590"/>
      <c r="AC25" s="590"/>
      <c r="AD25" s="590"/>
      <c r="AE25" s="591"/>
      <c r="AF25" s="589" t="s">
        <v>1219</v>
      </c>
      <c r="AG25" s="590"/>
      <c r="AH25" s="590"/>
      <c r="AI25" s="591"/>
    </row>
    <row r="26" spans="1:35" ht="11.1" customHeight="1">
      <c r="A26" s="674" t="s">
        <v>2373</v>
      </c>
      <c r="B26" s="675"/>
      <c r="C26" s="675"/>
      <c r="D26" s="675"/>
      <c r="E26" s="675"/>
      <c r="F26" s="675"/>
      <c r="G26" s="675"/>
      <c r="H26" s="675"/>
      <c r="I26" s="676"/>
      <c r="J26" s="589" t="s">
        <v>1219</v>
      </c>
      <c r="K26" s="590"/>
      <c r="L26" s="590"/>
      <c r="M26" s="590"/>
      <c r="N26" s="590"/>
      <c r="O26" s="590"/>
      <c r="P26" s="591"/>
      <c r="Q26" s="589" t="s">
        <v>1219</v>
      </c>
      <c r="R26" s="590"/>
      <c r="S26" s="590"/>
      <c r="T26" s="590"/>
      <c r="U26" s="590"/>
      <c r="V26" s="590"/>
      <c r="W26" s="590"/>
      <c r="X26" s="591"/>
      <c r="Y26" s="589" t="s">
        <v>1219</v>
      </c>
      <c r="Z26" s="590"/>
      <c r="AA26" s="590"/>
      <c r="AB26" s="590"/>
      <c r="AC26" s="590"/>
      <c r="AD26" s="590"/>
      <c r="AE26" s="591"/>
      <c r="AF26" s="589" t="s">
        <v>1219</v>
      </c>
      <c r="AG26" s="590"/>
      <c r="AH26" s="590"/>
      <c r="AI26" s="591"/>
    </row>
    <row r="27" spans="1:35" ht="11.85" customHeight="1">
      <c r="A27" s="674" t="s">
        <v>2374</v>
      </c>
      <c r="B27" s="675"/>
      <c r="C27" s="675"/>
      <c r="D27" s="675"/>
      <c r="E27" s="675"/>
      <c r="F27" s="675"/>
      <c r="G27" s="675"/>
      <c r="H27" s="675"/>
      <c r="I27" s="676"/>
      <c r="J27" s="589" t="s">
        <v>1219</v>
      </c>
      <c r="K27" s="590"/>
      <c r="L27" s="590"/>
      <c r="M27" s="590"/>
      <c r="N27" s="590"/>
      <c r="O27" s="590"/>
      <c r="P27" s="591"/>
      <c r="Q27" s="589" t="s">
        <v>1219</v>
      </c>
      <c r="R27" s="590"/>
      <c r="S27" s="590"/>
      <c r="T27" s="590"/>
      <c r="U27" s="590"/>
      <c r="V27" s="590"/>
      <c r="W27" s="590"/>
      <c r="X27" s="591"/>
      <c r="Y27" s="589" t="s">
        <v>1219</v>
      </c>
      <c r="Z27" s="590"/>
      <c r="AA27" s="590"/>
      <c r="AB27" s="590"/>
      <c r="AC27" s="590"/>
      <c r="AD27" s="590"/>
      <c r="AE27" s="591"/>
      <c r="AF27" s="589" t="s">
        <v>1219</v>
      </c>
      <c r="AG27" s="590"/>
      <c r="AH27" s="590"/>
      <c r="AI27" s="591"/>
    </row>
    <row r="28" spans="1:35" ht="11.85" customHeight="1">
      <c r="A28" s="674" t="s">
        <v>2375</v>
      </c>
      <c r="B28" s="675"/>
      <c r="C28" s="675"/>
      <c r="D28" s="675"/>
      <c r="E28" s="675"/>
      <c r="F28" s="675"/>
      <c r="G28" s="675"/>
      <c r="H28" s="675"/>
      <c r="I28" s="676"/>
      <c r="J28" s="589" t="s">
        <v>1219</v>
      </c>
      <c r="K28" s="590"/>
      <c r="L28" s="590"/>
      <c r="M28" s="590"/>
      <c r="N28" s="590"/>
      <c r="O28" s="590"/>
      <c r="P28" s="591"/>
      <c r="Q28" s="589" t="s">
        <v>1219</v>
      </c>
      <c r="R28" s="590"/>
      <c r="S28" s="590"/>
      <c r="T28" s="590"/>
      <c r="U28" s="590"/>
      <c r="V28" s="590"/>
      <c r="W28" s="590"/>
      <c r="X28" s="591"/>
      <c r="Y28" s="589" t="s">
        <v>1219</v>
      </c>
      <c r="Z28" s="590"/>
      <c r="AA28" s="590"/>
      <c r="AB28" s="590"/>
      <c r="AC28" s="590"/>
      <c r="AD28" s="590"/>
      <c r="AE28" s="591"/>
      <c r="AF28" s="589" t="s">
        <v>1219</v>
      </c>
      <c r="AG28" s="590"/>
      <c r="AH28" s="590"/>
      <c r="AI28" s="591"/>
    </row>
    <row r="29" spans="1:35" ht="11.85" customHeight="1">
      <c r="A29" s="677" t="s">
        <v>2376</v>
      </c>
      <c r="B29" s="678"/>
      <c r="C29" s="678"/>
      <c r="D29" s="678"/>
      <c r="E29" s="678"/>
      <c r="F29" s="678"/>
      <c r="G29" s="678"/>
      <c r="H29" s="678"/>
      <c r="I29" s="679"/>
      <c r="J29" s="594" t="s">
        <v>1219</v>
      </c>
      <c r="K29" s="595"/>
      <c r="L29" s="595"/>
      <c r="M29" s="595"/>
      <c r="N29" s="595"/>
      <c r="O29" s="595"/>
      <c r="P29" s="596"/>
      <c r="Q29" s="594" t="s">
        <v>1219</v>
      </c>
      <c r="R29" s="595"/>
      <c r="S29" s="595"/>
      <c r="T29" s="595"/>
      <c r="U29" s="595"/>
      <c r="V29" s="595"/>
      <c r="W29" s="595"/>
      <c r="X29" s="596"/>
      <c r="Y29" s="594" t="s">
        <v>1219</v>
      </c>
      <c r="Z29" s="595"/>
      <c r="AA29" s="595"/>
      <c r="AB29" s="595"/>
      <c r="AC29" s="595"/>
      <c r="AD29" s="595"/>
      <c r="AE29" s="596"/>
      <c r="AF29" s="594" t="s">
        <v>1219</v>
      </c>
      <c r="AG29" s="595"/>
      <c r="AH29" s="595"/>
      <c r="AI29" s="596"/>
    </row>
    <row r="30" spans="1:35" ht="11.1" customHeight="1">
      <c r="A30" s="755" t="s">
        <v>2377</v>
      </c>
      <c r="B30" s="756"/>
      <c r="C30" s="756"/>
      <c r="D30" s="756"/>
      <c r="E30" s="756"/>
      <c r="F30" s="756"/>
      <c r="G30" s="756"/>
      <c r="H30" s="756"/>
      <c r="I30" s="757"/>
      <c r="J30" s="758" t="s">
        <v>1368</v>
      </c>
      <c r="K30" s="759"/>
      <c r="L30" s="759"/>
      <c r="M30" s="759"/>
      <c r="N30" s="759"/>
      <c r="O30" s="759"/>
      <c r="P30" s="760"/>
      <c r="Q30" s="758" t="s">
        <v>1368</v>
      </c>
      <c r="R30" s="759"/>
      <c r="S30" s="759"/>
      <c r="T30" s="759"/>
      <c r="U30" s="759"/>
      <c r="V30" s="759"/>
      <c r="W30" s="759"/>
      <c r="X30" s="760"/>
      <c r="Y30" s="758" t="s">
        <v>1371</v>
      </c>
      <c r="Z30" s="759"/>
      <c r="AA30" s="759"/>
      <c r="AB30" s="759"/>
      <c r="AC30" s="759"/>
      <c r="AD30" s="759"/>
      <c r="AE30" s="760"/>
      <c r="AF30" s="758" t="s">
        <v>1372</v>
      </c>
      <c r="AG30" s="759"/>
      <c r="AH30" s="759"/>
      <c r="AI30" s="760"/>
    </row>
    <row r="31" spans="1:35" ht="11.85" customHeight="1">
      <c r="A31" s="661"/>
      <c r="B31" s="661"/>
      <c r="C31" s="661"/>
      <c r="D31" s="661"/>
      <c r="E31" s="661"/>
      <c r="F31" s="661"/>
      <c r="G31" s="661"/>
      <c r="H31" s="661"/>
      <c r="I31" s="661"/>
      <c r="J31" s="661"/>
      <c r="K31" s="661"/>
      <c r="L31" s="661"/>
      <c r="M31" s="661"/>
      <c r="N31" s="661"/>
      <c r="O31" s="661"/>
      <c r="P31" s="661"/>
      <c r="Q31" s="661"/>
      <c r="R31" s="661"/>
      <c r="S31" s="661"/>
      <c r="T31" s="661"/>
      <c r="U31" s="661"/>
      <c r="V31" s="661"/>
      <c r="W31" s="661"/>
      <c r="X31" s="661"/>
      <c r="Y31" s="661"/>
      <c r="Z31" s="661"/>
      <c r="AA31" s="661"/>
      <c r="AB31" s="661"/>
      <c r="AC31" s="661"/>
      <c r="AD31" s="661"/>
      <c r="AE31" s="661"/>
      <c r="AF31" s="661"/>
      <c r="AG31" s="661"/>
      <c r="AH31" s="661"/>
      <c r="AI31" s="661"/>
    </row>
    <row r="32" spans="1:35" ht="11.85" customHeight="1">
      <c r="A32" s="722" t="s">
        <v>2378</v>
      </c>
      <c r="B32" s="723"/>
      <c r="C32" s="723"/>
      <c r="D32" s="723"/>
      <c r="E32" s="724"/>
      <c r="F32" s="597" t="s">
        <v>2379</v>
      </c>
      <c r="G32" s="599"/>
      <c r="H32" s="597" t="s">
        <v>1869</v>
      </c>
      <c r="I32" s="728"/>
      <c r="J32" s="728"/>
      <c r="K32" s="728"/>
      <c r="L32" s="599"/>
      <c r="M32" s="611" t="s">
        <v>1576</v>
      </c>
      <c r="N32" s="612"/>
      <c r="O32" s="612"/>
      <c r="P32" s="612"/>
      <c r="Q32" s="612"/>
      <c r="R32" s="612"/>
      <c r="S32" s="613"/>
      <c r="T32" s="611" t="s">
        <v>1578</v>
      </c>
      <c r="U32" s="612"/>
      <c r="V32" s="612"/>
      <c r="W32" s="612"/>
      <c r="X32" s="612"/>
      <c r="Y32" s="612"/>
      <c r="Z32" s="612"/>
      <c r="AA32" s="612"/>
      <c r="AB32" s="612"/>
      <c r="AC32" s="613"/>
      <c r="AD32" s="611" t="s">
        <v>2380</v>
      </c>
      <c r="AE32" s="612"/>
      <c r="AF32" s="612"/>
      <c r="AG32" s="612"/>
      <c r="AH32" s="612"/>
      <c r="AI32" s="613"/>
    </row>
    <row r="33" spans="1:35" ht="17.850000000000001" customHeight="1">
      <c r="A33" s="725"/>
      <c r="B33" s="726"/>
      <c r="C33" s="726"/>
      <c r="D33" s="726"/>
      <c r="E33" s="727"/>
      <c r="F33" s="600"/>
      <c r="G33" s="601"/>
      <c r="H33" s="600"/>
      <c r="I33" s="729"/>
      <c r="J33" s="729"/>
      <c r="K33" s="729"/>
      <c r="L33" s="601"/>
      <c r="M33" s="597" t="s">
        <v>2381</v>
      </c>
      <c r="N33" s="602"/>
      <c r="O33" s="603"/>
      <c r="P33" s="597" t="s">
        <v>2382</v>
      </c>
      <c r="Q33" s="602"/>
      <c r="R33" s="602"/>
      <c r="S33" s="603"/>
      <c r="T33" s="597" t="s">
        <v>2383</v>
      </c>
      <c r="U33" s="602"/>
      <c r="V33" s="602"/>
      <c r="W33" s="602"/>
      <c r="X33" s="602"/>
      <c r="Y33" s="603"/>
      <c r="Z33" s="597" t="s">
        <v>2384</v>
      </c>
      <c r="AA33" s="602"/>
      <c r="AB33" s="602"/>
      <c r="AC33" s="603"/>
      <c r="AD33" s="597" t="s">
        <v>2385</v>
      </c>
      <c r="AE33" s="602"/>
      <c r="AF33" s="602"/>
      <c r="AG33" s="603"/>
      <c r="AH33" s="597" t="s">
        <v>2386</v>
      </c>
      <c r="AI33" s="603"/>
    </row>
    <row r="34" spans="1:35" ht="11.1" customHeight="1">
      <c r="A34" s="683" t="s">
        <v>2387</v>
      </c>
      <c r="B34" s="652"/>
      <c r="C34" s="652"/>
      <c r="D34" s="652"/>
      <c r="E34" s="684"/>
      <c r="F34" s="606" t="s">
        <v>2388</v>
      </c>
      <c r="G34" s="608"/>
      <c r="H34" s="606" t="s">
        <v>2389</v>
      </c>
      <c r="I34" s="607"/>
      <c r="J34" s="607"/>
      <c r="K34" s="607"/>
      <c r="L34" s="608"/>
      <c r="M34" s="606" t="s">
        <v>2390</v>
      </c>
      <c r="N34" s="607"/>
      <c r="O34" s="608"/>
      <c r="P34" s="606" t="s">
        <v>2391</v>
      </c>
      <c r="Q34" s="607"/>
      <c r="R34" s="607"/>
      <c r="S34" s="608"/>
      <c r="T34" s="606" t="s">
        <v>2392</v>
      </c>
      <c r="U34" s="607"/>
      <c r="V34" s="607"/>
      <c r="W34" s="607"/>
      <c r="X34" s="607"/>
      <c r="Y34" s="608"/>
      <c r="Z34" s="606" t="s">
        <v>2393</v>
      </c>
      <c r="AA34" s="607"/>
      <c r="AB34" s="607"/>
      <c r="AC34" s="608"/>
      <c r="AD34" s="606" t="s">
        <v>2394</v>
      </c>
      <c r="AE34" s="607"/>
      <c r="AF34" s="607"/>
      <c r="AG34" s="608"/>
      <c r="AH34" s="606" t="s">
        <v>2395</v>
      </c>
      <c r="AI34" s="608"/>
    </row>
    <row r="35" spans="1:35" ht="11.85" customHeight="1">
      <c r="A35" s="674" t="s">
        <v>2396</v>
      </c>
      <c r="B35" s="675"/>
      <c r="C35" s="675"/>
      <c r="D35" s="675"/>
      <c r="E35" s="676"/>
      <c r="F35" s="589" t="s">
        <v>2388</v>
      </c>
      <c r="G35" s="591"/>
      <c r="H35" s="589" t="s">
        <v>2389</v>
      </c>
      <c r="I35" s="590"/>
      <c r="J35" s="590"/>
      <c r="K35" s="590"/>
      <c r="L35" s="591"/>
      <c r="M35" s="589" t="s">
        <v>2390</v>
      </c>
      <c r="N35" s="590"/>
      <c r="O35" s="591"/>
      <c r="P35" s="589" t="s">
        <v>2391</v>
      </c>
      <c r="Q35" s="590"/>
      <c r="R35" s="590"/>
      <c r="S35" s="591"/>
      <c r="T35" s="589" t="s">
        <v>2392</v>
      </c>
      <c r="U35" s="590"/>
      <c r="V35" s="590"/>
      <c r="W35" s="590"/>
      <c r="X35" s="590"/>
      <c r="Y35" s="591"/>
      <c r="Z35" s="589" t="s">
        <v>2393</v>
      </c>
      <c r="AA35" s="590"/>
      <c r="AB35" s="590"/>
      <c r="AC35" s="591"/>
      <c r="AD35" s="589" t="s">
        <v>2394</v>
      </c>
      <c r="AE35" s="590"/>
      <c r="AF35" s="590"/>
      <c r="AG35" s="591"/>
      <c r="AH35" s="589" t="s">
        <v>2395</v>
      </c>
      <c r="AI35" s="591"/>
    </row>
    <row r="36" spans="1:35" ht="11.85" customHeight="1">
      <c r="A36" s="674" t="s">
        <v>2397</v>
      </c>
      <c r="B36" s="675"/>
      <c r="C36" s="675"/>
      <c r="D36" s="675"/>
      <c r="E36" s="676"/>
      <c r="F36" s="589" t="s">
        <v>1219</v>
      </c>
      <c r="G36" s="591"/>
      <c r="H36" s="589" t="s">
        <v>1219</v>
      </c>
      <c r="I36" s="590"/>
      <c r="J36" s="590"/>
      <c r="K36" s="590"/>
      <c r="L36" s="591"/>
      <c r="M36" s="589" t="s">
        <v>1219</v>
      </c>
      <c r="N36" s="590"/>
      <c r="O36" s="591"/>
      <c r="P36" s="589" t="s">
        <v>1219</v>
      </c>
      <c r="Q36" s="590"/>
      <c r="R36" s="590"/>
      <c r="S36" s="591"/>
      <c r="T36" s="589" t="s">
        <v>1219</v>
      </c>
      <c r="U36" s="590"/>
      <c r="V36" s="590"/>
      <c r="W36" s="590"/>
      <c r="X36" s="590"/>
      <c r="Y36" s="591"/>
      <c r="Z36" s="589" t="s">
        <v>1219</v>
      </c>
      <c r="AA36" s="590"/>
      <c r="AB36" s="590"/>
      <c r="AC36" s="591"/>
      <c r="AD36" s="589" t="s">
        <v>1219</v>
      </c>
      <c r="AE36" s="590"/>
      <c r="AF36" s="590"/>
      <c r="AG36" s="591"/>
      <c r="AH36" s="589" t="s">
        <v>1219</v>
      </c>
      <c r="AI36" s="591"/>
    </row>
    <row r="37" spans="1:35" ht="11.85" customHeight="1">
      <c r="A37" s="674" t="s">
        <v>2398</v>
      </c>
      <c r="B37" s="675"/>
      <c r="C37" s="675"/>
      <c r="D37" s="675"/>
      <c r="E37" s="676"/>
      <c r="F37" s="589" t="s">
        <v>2399</v>
      </c>
      <c r="G37" s="591"/>
      <c r="H37" s="589" t="s">
        <v>2400</v>
      </c>
      <c r="I37" s="590"/>
      <c r="J37" s="590"/>
      <c r="K37" s="590"/>
      <c r="L37" s="591"/>
      <c r="M37" s="589" t="s">
        <v>2401</v>
      </c>
      <c r="N37" s="590"/>
      <c r="O37" s="591"/>
      <c r="P37" s="589" t="s">
        <v>2402</v>
      </c>
      <c r="Q37" s="590"/>
      <c r="R37" s="590"/>
      <c r="S37" s="591"/>
      <c r="T37" s="589" t="s">
        <v>2403</v>
      </c>
      <c r="U37" s="590"/>
      <c r="V37" s="590"/>
      <c r="W37" s="590"/>
      <c r="X37" s="590"/>
      <c r="Y37" s="591"/>
      <c r="Z37" s="589" t="s">
        <v>2404</v>
      </c>
      <c r="AA37" s="590"/>
      <c r="AB37" s="590"/>
      <c r="AC37" s="591"/>
      <c r="AD37" s="589" t="s">
        <v>2405</v>
      </c>
      <c r="AE37" s="590"/>
      <c r="AF37" s="590"/>
      <c r="AG37" s="591"/>
      <c r="AH37" s="589" t="s">
        <v>2406</v>
      </c>
      <c r="AI37" s="591"/>
    </row>
    <row r="38" spans="1:35" ht="11.1" customHeight="1">
      <c r="A38" s="674" t="s">
        <v>2396</v>
      </c>
      <c r="B38" s="675"/>
      <c r="C38" s="675"/>
      <c r="D38" s="675"/>
      <c r="E38" s="676"/>
      <c r="F38" s="589" t="s">
        <v>2407</v>
      </c>
      <c r="G38" s="591"/>
      <c r="H38" s="589" t="s">
        <v>2408</v>
      </c>
      <c r="I38" s="590"/>
      <c r="J38" s="590"/>
      <c r="K38" s="590"/>
      <c r="L38" s="591"/>
      <c r="M38" s="589" t="s">
        <v>2409</v>
      </c>
      <c r="N38" s="590"/>
      <c r="O38" s="591"/>
      <c r="P38" s="589" t="s">
        <v>2410</v>
      </c>
      <c r="Q38" s="590"/>
      <c r="R38" s="590"/>
      <c r="S38" s="591"/>
      <c r="T38" s="589" t="s">
        <v>2403</v>
      </c>
      <c r="U38" s="590"/>
      <c r="V38" s="590"/>
      <c r="W38" s="590"/>
      <c r="X38" s="590"/>
      <c r="Y38" s="591"/>
      <c r="Z38" s="589" t="s">
        <v>2411</v>
      </c>
      <c r="AA38" s="590"/>
      <c r="AB38" s="590"/>
      <c r="AC38" s="591"/>
      <c r="AD38" s="589" t="s">
        <v>2405</v>
      </c>
      <c r="AE38" s="590"/>
      <c r="AF38" s="590"/>
      <c r="AG38" s="591"/>
      <c r="AH38" s="589" t="s">
        <v>2412</v>
      </c>
      <c r="AI38" s="591"/>
    </row>
    <row r="39" spans="1:35" ht="11.85" customHeight="1">
      <c r="A39" s="674" t="s">
        <v>2397</v>
      </c>
      <c r="B39" s="675"/>
      <c r="C39" s="675"/>
      <c r="D39" s="675"/>
      <c r="E39" s="676"/>
      <c r="F39" s="589" t="s">
        <v>1472</v>
      </c>
      <c r="G39" s="591"/>
      <c r="H39" s="589" t="s">
        <v>2413</v>
      </c>
      <c r="I39" s="590"/>
      <c r="J39" s="590"/>
      <c r="K39" s="590"/>
      <c r="L39" s="591"/>
      <c r="M39" s="589" t="s">
        <v>2414</v>
      </c>
      <c r="N39" s="590"/>
      <c r="O39" s="591"/>
      <c r="P39" s="589" t="s">
        <v>2415</v>
      </c>
      <c r="Q39" s="590"/>
      <c r="R39" s="590"/>
      <c r="S39" s="591"/>
      <c r="T39" s="589" t="s">
        <v>1219</v>
      </c>
      <c r="U39" s="590"/>
      <c r="V39" s="590"/>
      <c r="W39" s="590"/>
      <c r="X39" s="590"/>
      <c r="Y39" s="591"/>
      <c r="Z39" s="589" t="s">
        <v>1219</v>
      </c>
      <c r="AA39" s="590"/>
      <c r="AB39" s="590"/>
      <c r="AC39" s="591"/>
      <c r="AD39" s="589" t="s">
        <v>1219</v>
      </c>
      <c r="AE39" s="590"/>
      <c r="AF39" s="590"/>
      <c r="AG39" s="591"/>
      <c r="AH39" s="589" t="s">
        <v>1219</v>
      </c>
      <c r="AI39" s="591"/>
    </row>
    <row r="40" spans="1:35" ht="11.85" customHeight="1">
      <c r="A40" s="674" t="s">
        <v>2416</v>
      </c>
      <c r="B40" s="675"/>
      <c r="C40" s="675"/>
      <c r="D40" s="675"/>
      <c r="E40" s="676"/>
      <c r="F40" s="589" t="s">
        <v>2417</v>
      </c>
      <c r="G40" s="591"/>
      <c r="H40" s="589" t="s">
        <v>2417</v>
      </c>
      <c r="I40" s="590"/>
      <c r="J40" s="590"/>
      <c r="K40" s="590"/>
      <c r="L40" s="591"/>
      <c r="M40" s="589" t="s">
        <v>2418</v>
      </c>
      <c r="N40" s="590"/>
      <c r="O40" s="591"/>
      <c r="P40" s="589" t="s">
        <v>2419</v>
      </c>
      <c r="Q40" s="590"/>
      <c r="R40" s="590"/>
      <c r="S40" s="591"/>
      <c r="T40" s="589" t="s">
        <v>2420</v>
      </c>
      <c r="U40" s="590"/>
      <c r="V40" s="590"/>
      <c r="W40" s="590"/>
      <c r="X40" s="590"/>
      <c r="Y40" s="591"/>
      <c r="Z40" s="589" t="s">
        <v>2421</v>
      </c>
      <c r="AA40" s="590"/>
      <c r="AB40" s="590"/>
      <c r="AC40" s="591"/>
      <c r="AD40" s="589" t="s">
        <v>2422</v>
      </c>
      <c r="AE40" s="590"/>
      <c r="AF40" s="590"/>
      <c r="AG40" s="591"/>
      <c r="AH40" s="589" t="s">
        <v>2423</v>
      </c>
      <c r="AI40" s="591"/>
    </row>
    <row r="41" spans="1:35" ht="11.85" customHeight="1">
      <c r="A41" s="674" t="s">
        <v>2396</v>
      </c>
      <c r="B41" s="675"/>
      <c r="C41" s="675"/>
      <c r="D41" s="675"/>
      <c r="E41" s="676"/>
      <c r="F41" s="589" t="s">
        <v>2417</v>
      </c>
      <c r="G41" s="591"/>
      <c r="H41" s="589" t="s">
        <v>2417</v>
      </c>
      <c r="I41" s="590"/>
      <c r="J41" s="590"/>
      <c r="K41" s="590"/>
      <c r="L41" s="591"/>
      <c r="M41" s="589" t="s">
        <v>2418</v>
      </c>
      <c r="N41" s="590"/>
      <c r="O41" s="591"/>
      <c r="P41" s="589" t="s">
        <v>2419</v>
      </c>
      <c r="Q41" s="590"/>
      <c r="R41" s="590"/>
      <c r="S41" s="591"/>
      <c r="T41" s="589" t="s">
        <v>2420</v>
      </c>
      <c r="U41" s="590"/>
      <c r="V41" s="590"/>
      <c r="W41" s="590"/>
      <c r="X41" s="590"/>
      <c r="Y41" s="591"/>
      <c r="Z41" s="589" t="s">
        <v>2421</v>
      </c>
      <c r="AA41" s="590"/>
      <c r="AB41" s="590"/>
      <c r="AC41" s="591"/>
      <c r="AD41" s="589" t="s">
        <v>2422</v>
      </c>
      <c r="AE41" s="590"/>
      <c r="AF41" s="590"/>
      <c r="AG41" s="591"/>
      <c r="AH41" s="589" t="s">
        <v>2423</v>
      </c>
      <c r="AI41" s="591"/>
    </row>
    <row r="42" spans="1:35" ht="11.1" customHeight="1">
      <c r="A42" s="674" t="s">
        <v>2397</v>
      </c>
      <c r="B42" s="675"/>
      <c r="C42" s="675"/>
      <c r="D42" s="675"/>
      <c r="E42" s="676"/>
      <c r="F42" s="589" t="s">
        <v>1219</v>
      </c>
      <c r="G42" s="591"/>
      <c r="H42" s="589" t="s">
        <v>1219</v>
      </c>
      <c r="I42" s="590"/>
      <c r="J42" s="590"/>
      <c r="K42" s="590"/>
      <c r="L42" s="591"/>
      <c r="M42" s="589" t="s">
        <v>1219</v>
      </c>
      <c r="N42" s="590"/>
      <c r="O42" s="591"/>
      <c r="P42" s="589" t="s">
        <v>1219</v>
      </c>
      <c r="Q42" s="590"/>
      <c r="R42" s="590"/>
      <c r="S42" s="591"/>
      <c r="T42" s="589" t="s">
        <v>1219</v>
      </c>
      <c r="U42" s="590"/>
      <c r="V42" s="590"/>
      <c r="W42" s="590"/>
      <c r="X42" s="590"/>
      <c r="Y42" s="591"/>
      <c r="Z42" s="589" t="s">
        <v>1219</v>
      </c>
      <c r="AA42" s="590"/>
      <c r="AB42" s="590"/>
      <c r="AC42" s="591"/>
      <c r="AD42" s="589" t="s">
        <v>1219</v>
      </c>
      <c r="AE42" s="590"/>
      <c r="AF42" s="590"/>
      <c r="AG42" s="591"/>
      <c r="AH42" s="589" t="s">
        <v>1219</v>
      </c>
      <c r="AI42" s="591"/>
    </row>
    <row r="43" spans="1:35" ht="11.85" customHeight="1">
      <c r="A43" s="674" t="s">
        <v>2424</v>
      </c>
      <c r="B43" s="675"/>
      <c r="C43" s="675"/>
      <c r="D43" s="675"/>
      <c r="E43" s="676"/>
      <c r="F43" s="589" t="s">
        <v>2425</v>
      </c>
      <c r="G43" s="591"/>
      <c r="H43" s="589" t="s">
        <v>2426</v>
      </c>
      <c r="I43" s="590"/>
      <c r="J43" s="590"/>
      <c r="K43" s="590"/>
      <c r="L43" s="591"/>
      <c r="M43" s="589" t="s">
        <v>1219</v>
      </c>
      <c r="N43" s="590"/>
      <c r="O43" s="591"/>
      <c r="P43" s="589" t="s">
        <v>1219</v>
      </c>
      <c r="Q43" s="590"/>
      <c r="R43" s="590"/>
      <c r="S43" s="591"/>
      <c r="T43" s="589" t="s">
        <v>1219</v>
      </c>
      <c r="U43" s="590"/>
      <c r="V43" s="590"/>
      <c r="W43" s="590"/>
      <c r="X43" s="590"/>
      <c r="Y43" s="591"/>
      <c r="Z43" s="589" t="s">
        <v>1219</v>
      </c>
      <c r="AA43" s="590"/>
      <c r="AB43" s="590"/>
      <c r="AC43" s="591"/>
      <c r="AD43" s="589" t="s">
        <v>1219</v>
      </c>
      <c r="AE43" s="590"/>
      <c r="AF43" s="590"/>
      <c r="AG43" s="591"/>
      <c r="AH43" s="589" t="s">
        <v>1219</v>
      </c>
      <c r="AI43" s="591"/>
    </row>
    <row r="44" spans="1:35" ht="11.85" customHeight="1">
      <c r="A44" s="674" t="s">
        <v>2396</v>
      </c>
      <c r="B44" s="675"/>
      <c r="C44" s="675"/>
      <c r="D44" s="675"/>
      <c r="E44" s="676"/>
      <c r="F44" s="589" t="s">
        <v>2427</v>
      </c>
      <c r="G44" s="591"/>
      <c r="H44" s="589" t="s">
        <v>2428</v>
      </c>
      <c r="I44" s="590"/>
      <c r="J44" s="590"/>
      <c r="K44" s="590"/>
      <c r="L44" s="591"/>
      <c r="M44" s="589" t="s">
        <v>1219</v>
      </c>
      <c r="N44" s="590"/>
      <c r="O44" s="591"/>
      <c r="P44" s="589" t="s">
        <v>1219</v>
      </c>
      <c r="Q44" s="590"/>
      <c r="R44" s="590"/>
      <c r="S44" s="591"/>
      <c r="T44" s="589" t="s">
        <v>1219</v>
      </c>
      <c r="U44" s="590"/>
      <c r="V44" s="590"/>
      <c r="W44" s="590"/>
      <c r="X44" s="590"/>
      <c r="Y44" s="591"/>
      <c r="Z44" s="589" t="s">
        <v>1219</v>
      </c>
      <c r="AA44" s="590"/>
      <c r="AB44" s="590"/>
      <c r="AC44" s="591"/>
      <c r="AD44" s="589" t="s">
        <v>1219</v>
      </c>
      <c r="AE44" s="590"/>
      <c r="AF44" s="590"/>
      <c r="AG44" s="591"/>
      <c r="AH44" s="589" t="s">
        <v>1219</v>
      </c>
      <c r="AI44" s="591"/>
    </row>
    <row r="45" spans="1:35" ht="11.85" customHeight="1">
      <c r="A45" s="674" t="s">
        <v>2397</v>
      </c>
      <c r="B45" s="675"/>
      <c r="C45" s="675"/>
      <c r="D45" s="675"/>
      <c r="E45" s="676"/>
      <c r="F45" s="589" t="s">
        <v>2303</v>
      </c>
      <c r="G45" s="591"/>
      <c r="H45" s="589" t="s">
        <v>2303</v>
      </c>
      <c r="I45" s="590"/>
      <c r="J45" s="590"/>
      <c r="K45" s="590"/>
      <c r="L45" s="591"/>
      <c r="M45" s="589" t="s">
        <v>1219</v>
      </c>
      <c r="N45" s="590"/>
      <c r="O45" s="591"/>
      <c r="P45" s="589" t="s">
        <v>1219</v>
      </c>
      <c r="Q45" s="590"/>
      <c r="R45" s="590"/>
      <c r="S45" s="591"/>
      <c r="T45" s="589" t="s">
        <v>1219</v>
      </c>
      <c r="U45" s="590"/>
      <c r="V45" s="590"/>
      <c r="W45" s="590"/>
      <c r="X45" s="590"/>
      <c r="Y45" s="591"/>
      <c r="Z45" s="589" t="s">
        <v>1219</v>
      </c>
      <c r="AA45" s="590"/>
      <c r="AB45" s="590"/>
      <c r="AC45" s="591"/>
      <c r="AD45" s="589" t="s">
        <v>1219</v>
      </c>
      <c r="AE45" s="590"/>
      <c r="AF45" s="590"/>
      <c r="AG45" s="591"/>
      <c r="AH45" s="589" t="s">
        <v>1219</v>
      </c>
      <c r="AI45" s="591"/>
    </row>
    <row r="46" spans="1:35" ht="11.1" customHeight="1">
      <c r="A46" s="674" t="s">
        <v>2429</v>
      </c>
      <c r="B46" s="675"/>
      <c r="C46" s="675"/>
      <c r="D46" s="675"/>
      <c r="E46" s="676"/>
      <c r="F46" s="589" t="s">
        <v>2430</v>
      </c>
      <c r="G46" s="591"/>
      <c r="H46" s="589" t="s">
        <v>2430</v>
      </c>
      <c r="I46" s="590"/>
      <c r="J46" s="590"/>
      <c r="K46" s="590"/>
      <c r="L46" s="591"/>
      <c r="M46" s="589" t="s">
        <v>2431</v>
      </c>
      <c r="N46" s="590"/>
      <c r="O46" s="591"/>
      <c r="P46" s="589" t="s">
        <v>2432</v>
      </c>
      <c r="Q46" s="590"/>
      <c r="R46" s="590"/>
      <c r="S46" s="591"/>
      <c r="T46" s="589" t="s">
        <v>2431</v>
      </c>
      <c r="U46" s="590"/>
      <c r="V46" s="590"/>
      <c r="W46" s="590"/>
      <c r="X46" s="590"/>
      <c r="Y46" s="591"/>
      <c r="Z46" s="589" t="s">
        <v>2432</v>
      </c>
      <c r="AA46" s="590"/>
      <c r="AB46" s="590"/>
      <c r="AC46" s="591"/>
      <c r="AD46" s="589" t="s">
        <v>2433</v>
      </c>
      <c r="AE46" s="590"/>
      <c r="AF46" s="590"/>
      <c r="AG46" s="591"/>
      <c r="AH46" s="589" t="s">
        <v>2434</v>
      </c>
      <c r="AI46" s="591"/>
    </row>
    <row r="47" spans="1:35" ht="11.85" customHeight="1">
      <c r="A47" s="674" t="s">
        <v>2396</v>
      </c>
      <c r="B47" s="675"/>
      <c r="C47" s="675"/>
      <c r="D47" s="675"/>
      <c r="E47" s="676"/>
      <c r="F47" s="589" t="s">
        <v>2430</v>
      </c>
      <c r="G47" s="591"/>
      <c r="H47" s="589" t="s">
        <v>2430</v>
      </c>
      <c r="I47" s="590"/>
      <c r="J47" s="590"/>
      <c r="K47" s="590"/>
      <c r="L47" s="591"/>
      <c r="M47" s="589" t="s">
        <v>2431</v>
      </c>
      <c r="N47" s="590"/>
      <c r="O47" s="591"/>
      <c r="P47" s="589" t="s">
        <v>2432</v>
      </c>
      <c r="Q47" s="590"/>
      <c r="R47" s="590"/>
      <c r="S47" s="591"/>
      <c r="T47" s="589" t="s">
        <v>2431</v>
      </c>
      <c r="U47" s="590"/>
      <c r="V47" s="590"/>
      <c r="W47" s="590"/>
      <c r="X47" s="590"/>
      <c r="Y47" s="591"/>
      <c r="Z47" s="589" t="s">
        <v>2432</v>
      </c>
      <c r="AA47" s="590"/>
      <c r="AB47" s="590"/>
      <c r="AC47" s="591"/>
      <c r="AD47" s="589" t="s">
        <v>2433</v>
      </c>
      <c r="AE47" s="590"/>
      <c r="AF47" s="590"/>
      <c r="AG47" s="591"/>
      <c r="AH47" s="589" t="s">
        <v>2434</v>
      </c>
      <c r="AI47" s="591"/>
    </row>
    <row r="48" spans="1:35" ht="11.85" customHeight="1">
      <c r="A48" s="615" t="s">
        <v>1332</v>
      </c>
      <c r="B48" s="615"/>
      <c r="C48" s="615"/>
      <c r="D48" s="615"/>
      <c r="E48" s="615"/>
      <c r="F48" s="615"/>
      <c r="G48" s="615"/>
      <c r="AH48" s="448" t="s">
        <v>1893</v>
      </c>
    </row>
    <row r="49" spans="1:35" ht="11.1" customHeight="1">
      <c r="A49" s="615" t="s">
        <v>1206</v>
      </c>
      <c r="B49" s="615"/>
      <c r="C49" s="615"/>
      <c r="D49" s="615"/>
      <c r="E49" s="615"/>
      <c r="F49" s="615"/>
      <c r="G49" s="615"/>
    </row>
    <row r="50" spans="1:35" ht="11.85" customHeight="1">
      <c r="A50" s="619" t="s">
        <v>2336</v>
      </c>
      <c r="B50" s="619"/>
      <c r="C50" s="619"/>
      <c r="D50" s="619"/>
      <c r="E50" s="619"/>
      <c r="F50" s="619"/>
      <c r="G50" s="619"/>
    </row>
    <row r="51" spans="1:35" ht="11.85" customHeight="1">
      <c r="A51" s="615" t="s">
        <v>1335</v>
      </c>
      <c r="B51" s="615"/>
      <c r="C51" s="615"/>
      <c r="D51" s="615"/>
      <c r="E51" s="615"/>
      <c r="F51" s="615"/>
      <c r="G51" s="615"/>
    </row>
    <row r="52" spans="1:35" ht="11.85" customHeight="1">
      <c r="A52" s="615" t="s">
        <v>1209</v>
      </c>
      <c r="B52" s="615"/>
      <c r="C52" s="615"/>
      <c r="D52" s="615"/>
      <c r="E52" s="615"/>
      <c r="F52" s="615"/>
      <c r="G52" s="615"/>
    </row>
    <row r="53" spans="1:35" ht="5.85" customHeight="1"/>
    <row r="54" spans="1:35" ht="11.1" customHeight="1">
      <c r="A54" s="616" t="s">
        <v>2337</v>
      </c>
      <c r="B54" s="616"/>
      <c r="C54" s="616"/>
      <c r="D54" s="616"/>
      <c r="E54" s="616"/>
      <c r="F54" s="616"/>
      <c r="G54" s="616"/>
      <c r="H54" s="449"/>
      <c r="I54" s="449"/>
      <c r="J54" s="449"/>
      <c r="K54" s="449"/>
      <c r="L54" s="449"/>
      <c r="M54" s="449"/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449"/>
      <c r="Z54" s="449"/>
      <c r="AA54" s="449"/>
      <c r="AB54" s="449"/>
      <c r="AC54" s="449"/>
      <c r="AD54" s="449"/>
      <c r="AE54" s="449"/>
      <c r="AF54" s="449"/>
      <c r="AG54" s="449"/>
      <c r="AH54" s="449"/>
      <c r="AI54" s="449"/>
    </row>
    <row r="55" spans="1:35" ht="11.85" customHeight="1">
      <c r="A55" s="722" t="s">
        <v>2378</v>
      </c>
      <c r="B55" s="723"/>
      <c r="C55" s="723"/>
      <c r="D55" s="723"/>
      <c r="E55" s="724"/>
      <c r="F55" s="597" t="s">
        <v>2379</v>
      </c>
      <c r="G55" s="599"/>
      <c r="H55" s="597" t="s">
        <v>1869</v>
      </c>
      <c r="I55" s="728"/>
      <c r="J55" s="728"/>
      <c r="K55" s="728"/>
      <c r="L55" s="599"/>
      <c r="M55" s="611" t="s">
        <v>1576</v>
      </c>
      <c r="N55" s="612"/>
      <c r="O55" s="612"/>
      <c r="P55" s="612"/>
      <c r="Q55" s="612"/>
      <c r="R55" s="612"/>
      <c r="S55" s="613"/>
      <c r="T55" s="611" t="s">
        <v>1578</v>
      </c>
      <c r="U55" s="612"/>
      <c r="V55" s="612"/>
      <c r="W55" s="612"/>
      <c r="X55" s="612"/>
      <c r="Y55" s="612"/>
      <c r="Z55" s="612"/>
      <c r="AA55" s="612"/>
      <c r="AB55" s="612"/>
      <c r="AC55" s="613"/>
      <c r="AD55" s="611" t="s">
        <v>2380</v>
      </c>
      <c r="AE55" s="612"/>
      <c r="AF55" s="612"/>
      <c r="AG55" s="612"/>
      <c r="AH55" s="612"/>
      <c r="AI55" s="613"/>
    </row>
    <row r="56" spans="1:35" ht="17.850000000000001" customHeight="1">
      <c r="A56" s="725"/>
      <c r="B56" s="726"/>
      <c r="C56" s="726"/>
      <c r="D56" s="726"/>
      <c r="E56" s="727"/>
      <c r="F56" s="600"/>
      <c r="G56" s="601"/>
      <c r="H56" s="600"/>
      <c r="I56" s="729"/>
      <c r="J56" s="729"/>
      <c r="K56" s="729"/>
      <c r="L56" s="601"/>
      <c r="M56" s="597" t="s">
        <v>2381</v>
      </c>
      <c r="N56" s="602"/>
      <c r="O56" s="603"/>
      <c r="P56" s="597" t="s">
        <v>2382</v>
      </c>
      <c r="Q56" s="602"/>
      <c r="R56" s="602"/>
      <c r="S56" s="603"/>
      <c r="T56" s="597" t="s">
        <v>2383</v>
      </c>
      <c r="U56" s="602"/>
      <c r="V56" s="602"/>
      <c r="W56" s="602"/>
      <c r="X56" s="602"/>
      <c r="Y56" s="603"/>
      <c r="Z56" s="597" t="s">
        <v>2384</v>
      </c>
      <c r="AA56" s="602"/>
      <c r="AB56" s="602"/>
      <c r="AC56" s="603"/>
      <c r="AD56" s="597" t="s">
        <v>2385</v>
      </c>
      <c r="AE56" s="602"/>
      <c r="AF56" s="602"/>
      <c r="AG56" s="603"/>
      <c r="AH56" s="597" t="s">
        <v>2386</v>
      </c>
      <c r="AI56" s="603"/>
    </row>
    <row r="57" spans="1:35" ht="11.1" customHeight="1">
      <c r="A57" s="683" t="s">
        <v>2397</v>
      </c>
      <c r="B57" s="652"/>
      <c r="C57" s="652"/>
      <c r="D57" s="652"/>
      <c r="E57" s="684"/>
      <c r="F57" s="606" t="s">
        <v>1219</v>
      </c>
      <c r="G57" s="608"/>
      <c r="H57" s="606" t="s">
        <v>1219</v>
      </c>
      <c r="I57" s="607"/>
      <c r="J57" s="607"/>
      <c r="K57" s="607"/>
      <c r="L57" s="608"/>
      <c r="M57" s="606" t="s">
        <v>1219</v>
      </c>
      <c r="N57" s="607"/>
      <c r="O57" s="608"/>
      <c r="P57" s="606" t="s">
        <v>1219</v>
      </c>
      <c r="Q57" s="607"/>
      <c r="R57" s="607"/>
      <c r="S57" s="608"/>
      <c r="T57" s="606" t="s">
        <v>1219</v>
      </c>
      <c r="U57" s="607"/>
      <c r="V57" s="607"/>
      <c r="W57" s="607"/>
      <c r="X57" s="607"/>
      <c r="Y57" s="608"/>
      <c r="Z57" s="606" t="s">
        <v>1219</v>
      </c>
      <c r="AA57" s="607"/>
      <c r="AB57" s="607"/>
      <c r="AC57" s="608"/>
      <c r="AD57" s="606" t="s">
        <v>1219</v>
      </c>
      <c r="AE57" s="607"/>
      <c r="AF57" s="607"/>
      <c r="AG57" s="608"/>
      <c r="AH57" s="606" t="s">
        <v>1219</v>
      </c>
      <c r="AI57" s="608"/>
    </row>
    <row r="58" spans="1:35" ht="11.85" customHeight="1">
      <c r="A58" s="674" t="s">
        <v>2435</v>
      </c>
      <c r="B58" s="675"/>
      <c r="C58" s="675"/>
      <c r="D58" s="675"/>
      <c r="E58" s="676"/>
      <c r="F58" s="589" t="s">
        <v>1219</v>
      </c>
      <c r="G58" s="591"/>
      <c r="H58" s="589" t="s">
        <v>1219</v>
      </c>
      <c r="I58" s="590"/>
      <c r="J58" s="590"/>
      <c r="K58" s="590"/>
      <c r="L58" s="591"/>
      <c r="M58" s="589" t="s">
        <v>1219</v>
      </c>
      <c r="N58" s="590"/>
      <c r="O58" s="591"/>
      <c r="P58" s="589" t="s">
        <v>1219</v>
      </c>
      <c r="Q58" s="590"/>
      <c r="R58" s="590"/>
      <c r="S58" s="591"/>
      <c r="T58" s="589" t="s">
        <v>1219</v>
      </c>
      <c r="U58" s="590"/>
      <c r="V58" s="590"/>
      <c r="W58" s="590"/>
      <c r="X58" s="590"/>
      <c r="Y58" s="591"/>
      <c r="Z58" s="589" t="s">
        <v>1219</v>
      </c>
      <c r="AA58" s="590"/>
      <c r="AB58" s="590"/>
      <c r="AC58" s="591"/>
      <c r="AD58" s="589" t="s">
        <v>1219</v>
      </c>
      <c r="AE58" s="590"/>
      <c r="AF58" s="590"/>
      <c r="AG58" s="591"/>
      <c r="AH58" s="589" t="s">
        <v>1219</v>
      </c>
      <c r="AI58" s="591"/>
    </row>
    <row r="59" spans="1:35" ht="11.85" customHeight="1">
      <c r="A59" s="674" t="s">
        <v>2396</v>
      </c>
      <c r="B59" s="675"/>
      <c r="C59" s="675"/>
      <c r="D59" s="675"/>
      <c r="E59" s="676"/>
      <c r="F59" s="589" t="s">
        <v>1219</v>
      </c>
      <c r="G59" s="591"/>
      <c r="H59" s="589" t="s">
        <v>1219</v>
      </c>
      <c r="I59" s="590"/>
      <c r="J59" s="590"/>
      <c r="K59" s="590"/>
      <c r="L59" s="591"/>
      <c r="M59" s="589" t="s">
        <v>1219</v>
      </c>
      <c r="N59" s="590"/>
      <c r="O59" s="591"/>
      <c r="P59" s="589" t="s">
        <v>1219</v>
      </c>
      <c r="Q59" s="590"/>
      <c r="R59" s="590"/>
      <c r="S59" s="591"/>
      <c r="T59" s="589" t="s">
        <v>1219</v>
      </c>
      <c r="U59" s="590"/>
      <c r="V59" s="590"/>
      <c r="W59" s="590"/>
      <c r="X59" s="590"/>
      <c r="Y59" s="591"/>
      <c r="Z59" s="589" t="s">
        <v>1219</v>
      </c>
      <c r="AA59" s="590"/>
      <c r="AB59" s="590"/>
      <c r="AC59" s="591"/>
      <c r="AD59" s="589" t="s">
        <v>1219</v>
      </c>
      <c r="AE59" s="590"/>
      <c r="AF59" s="590"/>
      <c r="AG59" s="591"/>
      <c r="AH59" s="589" t="s">
        <v>1219</v>
      </c>
      <c r="AI59" s="591"/>
    </row>
    <row r="60" spans="1:35" ht="11.85" customHeight="1">
      <c r="A60" s="674" t="s">
        <v>2397</v>
      </c>
      <c r="B60" s="675"/>
      <c r="C60" s="675"/>
      <c r="D60" s="675"/>
      <c r="E60" s="676"/>
      <c r="F60" s="589" t="s">
        <v>1219</v>
      </c>
      <c r="G60" s="591"/>
      <c r="H60" s="589" t="s">
        <v>1219</v>
      </c>
      <c r="I60" s="590"/>
      <c r="J60" s="590"/>
      <c r="K60" s="590"/>
      <c r="L60" s="591"/>
      <c r="M60" s="589" t="s">
        <v>1219</v>
      </c>
      <c r="N60" s="590"/>
      <c r="O60" s="591"/>
      <c r="P60" s="589" t="s">
        <v>1219</v>
      </c>
      <c r="Q60" s="590"/>
      <c r="R60" s="590"/>
      <c r="S60" s="591"/>
      <c r="T60" s="589" t="s">
        <v>1219</v>
      </c>
      <c r="U60" s="590"/>
      <c r="V60" s="590"/>
      <c r="W60" s="590"/>
      <c r="X60" s="590"/>
      <c r="Y60" s="591"/>
      <c r="Z60" s="589" t="s">
        <v>1219</v>
      </c>
      <c r="AA60" s="590"/>
      <c r="AB60" s="590"/>
      <c r="AC60" s="591"/>
      <c r="AD60" s="589" t="s">
        <v>1219</v>
      </c>
      <c r="AE60" s="590"/>
      <c r="AF60" s="590"/>
      <c r="AG60" s="591"/>
      <c r="AH60" s="589" t="s">
        <v>1219</v>
      </c>
      <c r="AI60" s="591"/>
    </row>
    <row r="61" spans="1:35" ht="11.1" customHeight="1">
      <c r="A61" s="674" t="s">
        <v>2436</v>
      </c>
      <c r="B61" s="675"/>
      <c r="C61" s="675"/>
      <c r="D61" s="675"/>
      <c r="E61" s="676"/>
      <c r="F61" s="589" t="s">
        <v>2437</v>
      </c>
      <c r="G61" s="591"/>
      <c r="H61" s="589" t="s">
        <v>2438</v>
      </c>
      <c r="I61" s="590"/>
      <c r="J61" s="590"/>
      <c r="K61" s="590"/>
      <c r="L61" s="591"/>
      <c r="M61" s="589" t="s">
        <v>2439</v>
      </c>
      <c r="N61" s="590"/>
      <c r="O61" s="591"/>
      <c r="P61" s="589" t="s">
        <v>2440</v>
      </c>
      <c r="Q61" s="590"/>
      <c r="R61" s="590"/>
      <c r="S61" s="591"/>
      <c r="T61" s="589" t="s">
        <v>2441</v>
      </c>
      <c r="U61" s="590"/>
      <c r="V61" s="590"/>
      <c r="W61" s="590"/>
      <c r="X61" s="590"/>
      <c r="Y61" s="591"/>
      <c r="Z61" s="589" t="s">
        <v>2442</v>
      </c>
      <c r="AA61" s="590"/>
      <c r="AB61" s="590"/>
      <c r="AC61" s="591"/>
      <c r="AD61" s="589" t="s">
        <v>2443</v>
      </c>
      <c r="AE61" s="590"/>
      <c r="AF61" s="590"/>
      <c r="AG61" s="591"/>
      <c r="AH61" s="589" t="s">
        <v>2444</v>
      </c>
      <c r="AI61" s="591"/>
    </row>
    <row r="62" spans="1:35" ht="11.85" customHeight="1">
      <c r="A62" s="674" t="s">
        <v>2396</v>
      </c>
      <c r="B62" s="675"/>
      <c r="C62" s="675"/>
      <c r="D62" s="675"/>
      <c r="E62" s="676"/>
      <c r="F62" s="589" t="s">
        <v>2445</v>
      </c>
      <c r="G62" s="591"/>
      <c r="H62" s="589" t="s">
        <v>2446</v>
      </c>
      <c r="I62" s="590"/>
      <c r="J62" s="590"/>
      <c r="K62" s="590"/>
      <c r="L62" s="591"/>
      <c r="M62" s="589" t="s">
        <v>2439</v>
      </c>
      <c r="N62" s="590"/>
      <c r="O62" s="591"/>
      <c r="P62" s="589" t="s">
        <v>2447</v>
      </c>
      <c r="Q62" s="590"/>
      <c r="R62" s="590"/>
      <c r="S62" s="591"/>
      <c r="T62" s="589" t="s">
        <v>2441</v>
      </c>
      <c r="U62" s="590"/>
      <c r="V62" s="590"/>
      <c r="W62" s="590"/>
      <c r="X62" s="590"/>
      <c r="Y62" s="591"/>
      <c r="Z62" s="589" t="s">
        <v>2448</v>
      </c>
      <c r="AA62" s="590"/>
      <c r="AB62" s="590"/>
      <c r="AC62" s="591"/>
      <c r="AD62" s="589" t="s">
        <v>2443</v>
      </c>
      <c r="AE62" s="590"/>
      <c r="AF62" s="590"/>
      <c r="AG62" s="591"/>
      <c r="AH62" s="589" t="s">
        <v>2449</v>
      </c>
      <c r="AI62" s="591"/>
    </row>
    <row r="63" spans="1:35" ht="11.85" customHeight="1">
      <c r="A63" s="677" t="s">
        <v>2397</v>
      </c>
      <c r="B63" s="678"/>
      <c r="C63" s="678"/>
      <c r="D63" s="678"/>
      <c r="E63" s="679"/>
      <c r="F63" s="594" t="s">
        <v>2450</v>
      </c>
      <c r="G63" s="596"/>
      <c r="H63" s="594" t="s">
        <v>2450</v>
      </c>
      <c r="I63" s="595"/>
      <c r="J63" s="595"/>
      <c r="K63" s="595"/>
      <c r="L63" s="596"/>
      <c r="M63" s="594" t="s">
        <v>1219</v>
      </c>
      <c r="N63" s="595"/>
      <c r="O63" s="596"/>
      <c r="P63" s="594" t="s">
        <v>1219</v>
      </c>
      <c r="Q63" s="595"/>
      <c r="R63" s="595"/>
      <c r="S63" s="596"/>
      <c r="T63" s="594" t="s">
        <v>1219</v>
      </c>
      <c r="U63" s="595"/>
      <c r="V63" s="595"/>
      <c r="W63" s="595"/>
      <c r="X63" s="595"/>
      <c r="Y63" s="596"/>
      <c r="Z63" s="594" t="s">
        <v>1219</v>
      </c>
      <c r="AA63" s="595"/>
      <c r="AB63" s="595"/>
      <c r="AC63" s="596"/>
      <c r="AD63" s="594" t="s">
        <v>1219</v>
      </c>
      <c r="AE63" s="595"/>
      <c r="AF63" s="595"/>
      <c r="AG63" s="596"/>
      <c r="AH63" s="594" t="s">
        <v>1219</v>
      </c>
      <c r="AI63" s="596"/>
    </row>
    <row r="64" spans="1:35" ht="11.85" customHeight="1">
      <c r="A64" s="730" t="s">
        <v>2451</v>
      </c>
      <c r="B64" s="731"/>
      <c r="C64" s="731"/>
      <c r="D64" s="731"/>
      <c r="E64" s="732"/>
      <c r="F64" s="698" t="s">
        <v>2452</v>
      </c>
      <c r="G64" s="699"/>
      <c r="H64" s="698" t="s">
        <v>2452</v>
      </c>
      <c r="I64" s="700"/>
      <c r="J64" s="700"/>
      <c r="K64" s="700"/>
      <c r="L64" s="699"/>
      <c r="M64" s="698" t="s">
        <v>942</v>
      </c>
      <c r="N64" s="700"/>
      <c r="O64" s="699"/>
      <c r="P64" s="698" t="s">
        <v>2453</v>
      </c>
      <c r="Q64" s="700"/>
      <c r="R64" s="700"/>
      <c r="S64" s="699"/>
      <c r="T64" s="698" t="s">
        <v>599</v>
      </c>
      <c r="U64" s="700"/>
      <c r="V64" s="700"/>
      <c r="W64" s="700"/>
      <c r="X64" s="700"/>
      <c r="Y64" s="699"/>
      <c r="Z64" s="698" t="s">
        <v>2454</v>
      </c>
      <c r="AA64" s="700"/>
      <c r="AB64" s="700"/>
      <c r="AC64" s="699"/>
      <c r="AD64" s="698" t="s">
        <v>2455</v>
      </c>
      <c r="AE64" s="700"/>
      <c r="AF64" s="700"/>
      <c r="AG64" s="699"/>
      <c r="AH64" s="698" t="s">
        <v>2456</v>
      </c>
      <c r="AI64" s="699"/>
    </row>
    <row r="65" spans="1:35" ht="11.1" customHeight="1">
      <c r="A65" s="661"/>
      <c r="B65" s="661"/>
      <c r="C65" s="661"/>
      <c r="D65" s="661"/>
      <c r="E65" s="661"/>
      <c r="F65" s="661"/>
      <c r="G65" s="661"/>
      <c r="H65" s="661"/>
      <c r="I65" s="661"/>
      <c r="J65" s="661"/>
      <c r="K65" s="661"/>
      <c r="L65" s="661"/>
      <c r="M65" s="661"/>
      <c r="N65" s="661"/>
      <c r="O65" s="661"/>
      <c r="P65" s="661"/>
      <c r="Q65" s="661"/>
      <c r="R65" s="661"/>
      <c r="S65" s="661"/>
      <c r="T65" s="661"/>
      <c r="U65" s="661"/>
      <c r="V65" s="661"/>
      <c r="W65" s="661"/>
      <c r="X65" s="661"/>
      <c r="Y65" s="661"/>
      <c r="Z65" s="661"/>
      <c r="AA65" s="661"/>
      <c r="AB65" s="661"/>
      <c r="AC65" s="661"/>
      <c r="AD65" s="661"/>
      <c r="AE65" s="661"/>
      <c r="AF65" s="661"/>
      <c r="AG65" s="661"/>
      <c r="AH65" s="661"/>
      <c r="AI65" s="661"/>
    </row>
    <row r="66" spans="1:35" ht="29.65" customHeight="1">
      <c r="A66" s="609" t="s">
        <v>2457</v>
      </c>
      <c r="B66" s="754"/>
      <c r="C66" s="754"/>
      <c r="D66" s="754"/>
      <c r="E66" s="754"/>
      <c r="F66" s="754"/>
      <c r="G66" s="754"/>
      <c r="H66" s="754"/>
      <c r="I66" s="754"/>
      <c r="J66" s="754"/>
      <c r="K66" s="754"/>
      <c r="L66" s="754"/>
      <c r="M66" s="754"/>
      <c r="N66" s="747"/>
      <c r="O66" s="597" t="s">
        <v>2458</v>
      </c>
      <c r="P66" s="602"/>
      <c r="Q66" s="602"/>
      <c r="R66" s="602"/>
      <c r="S66" s="602"/>
      <c r="T66" s="602"/>
      <c r="U66" s="603"/>
      <c r="V66" s="597" t="s">
        <v>2459</v>
      </c>
      <c r="W66" s="602"/>
      <c r="X66" s="602"/>
      <c r="Y66" s="602"/>
      <c r="Z66" s="602"/>
      <c r="AA66" s="602"/>
      <c r="AB66" s="602"/>
      <c r="AC66" s="602"/>
      <c r="AD66" s="603"/>
      <c r="AE66" s="597" t="s">
        <v>2460</v>
      </c>
      <c r="AF66" s="602"/>
      <c r="AG66" s="602"/>
      <c r="AH66" s="602"/>
      <c r="AI66" s="603"/>
    </row>
    <row r="67" spans="1:35" ht="11.85" customHeight="1">
      <c r="A67" s="683" t="s">
        <v>2461</v>
      </c>
      <c r="B67" s="652"/>
      <c r="C67" s="652"/>
      <c r="D67" s="652"/>
      <c r="E67" s="652"/>
      <c r="F67" s="652"/>
      <c r="G67" s="652"/>
      <c r="H67" s="652"/>
      <c r="I67" s="652"/>
      <c r="J67" s="652"/>
      <c r="K67" s="652"/>
      <c r="L67" s="652"/>
      <c r="M67" s="652"/>
      <c r="N67" s="684"/>
      <c r="O67" s="606" t="s">
        <v>942</v>
      </c>
      <c r="P67" s="607"/>
      <c r="Q67" s="607"/>
      <c r="R67" s="607"/>
      <c r="S67" s="607"/>
      <c r="T67" s="607"/>
      <c r="U67" s="608"/>
      <c r="V67" s="606" t="s">
        <v>599</v>
      </c>
      <c r="W67" s="607"/>
      <c r="X67" s="607"/>
      <c r="Y67" s="607"/>
      <c r="Z67" s="607"/>
      <c r="AA67" s="607"/>
      <c r="AB67" s="607"/>
      <c r="AC67" s="607"/>
      <c r="AD67" s="608"/>
      <c r="AE67" s="606" t="s">
        <v>2455</v>
      </c>
      <c r="AF67" s="607"/>
      <c r="AG67" s="607"/>
      <c r="AH67" s="607"/>
      <c r="AI67" s="608"/>
    </row>
    <row r="68" spans="1:35" ht="11.1" customHeight="1">
      <c r="A68" s="674" t="s">
        <v>2462</v>
      </c>
      <c r="B68" s="675"/>
      <c r="C68" s="675"/>
      <c r="D68" s="675"/>
      <c r="E68" s="675"/>
      <c r="F68" s="675"/>
      <c r="G68" s="675"/>
      <c r="H68" s="675"/>
      <c r="I68" s="675"/>
      <c r="J68" s="675"/>
      <c r="K68" s="675"/>
      <c r="L68" s="675"/>
      <c r="M68" s="675"/>
      <c r="N68" s="676"/>
      <c r="O68" s="589" t="s">
        <v>1219</v>
      </c>
      <c r="P68" s="590"/>
      <c r="Q68" s="590"/>
      <c r="R68" s="590"/>
      <c r="S68" s="590"/>
      <c r="T68" s="590"/>
      <c r="U68" s="591"/>
      <c r="V68" s="589" t="s">
        <v>1219</v>
      </c>
      <c r="W68" s="590"/>
      <c r="X68" s="590"/>
      <c r="Y68" s="590"/>
      <c r="Z68" s="590"/>
      <c r="AA68" s="590"/>
      <c r="AB68" s="590"/>
      <c r="AC68" s="590"/>
      <c r="AD68" s="591"/>
      <c r="AE68" s="589" t="s">
        <v>1219</v>
      </c>
      <c r="AF68" s="590"/>
      <c r="AG68" s="590"/>
      <c r="AH68" s="590"/>
      <c r="AI68" s="591"/>
    </row>
    <row r="69" spans="1:35" ht="11.85" customHeight="1">
      <c r="A69" s="674" t="s">
        <v>2463</v>
      </c>
      <c r="B69" s="675"/>
      <c r="C69" s="675"/>
      <c r="D69" s="675"/>
      <c r="E69" s="675"/>
      <c r="F69" s="675"/>
      <c r="G69" s="675"/>
      <c r="H69" s="675"/>
      <c r="I69" s="675"/>
      <c r="J69" s="675"/>
      <c r="K69" s="675"/>
      <c r="L69" s="675"/>
      <c r="M69" s="675"/>
      <c r="N69" s="676"/>
      <c r="O69" s="589" t="s">
        <v>1219</v>
      </c>
      <c r="P69" s="590"/>
      <c r="Q69" s="590"/>
      <c r="R69" s="590"/>
      <c r="S69" s="590"/>
      <c r="T69" s="590"/>
      <c r="U69" s="591"/>
      <c r="V69" s="589" t="s">
        <v>1219</v>
      </c>
      <c r="W69" s="590"/>
      <c r="X69" s="590"/>
      <c r="Y69" s="590"/>
      <c r="Z69" s="590"/>
      <c r="AA69" s="590"/>
      <c r="AB69" s="590"/>
      <c r="AC69" s="590"/>
      <c r="AD69" s="591"/>
      <c r="AE69" s="589" t="s">
        <v>1219</v>
      </c>
      <c r="AF69" s="590"/>
      <c r="AG69" s="590"/>
      <c r="AH69" s="590"/>
      <c r="AI69" s="591"/>
    </row>
    <row r="70" spans="1:35" ht="11.85" customHeight="1">
      <c r="A70" s="677" t="s">
        <v>2464</v>
      </c>
      <c r="B70" s="678"/>
      <c r="C70" s="678"/>
      <c r="D70" s="678"/>
      <c r="E70" s="678"/>
      <c r="F70" s="678"/>
      <c r="G70" s="678"/>
      <c r="H70" s="678"/>
      <c r="I70" s="678"/>
      <c r="J70" s="678"/>
      <c r="K70" s="678"/>
      <c r="L70" s="678"/>
      <c r="M70" s="678"/>
      <c r="N70" s="679"/>
      <c r="O70" s="594" t="s">
        <v>1219</v>
      </c>
      <c r="P70" s="595"/>
      <c r="Q70" s="595"/>
      <c r="R70" s="595"/>
      <c r="S70" s="595"/>
      <c r="T70" s="595"/>
      <c r="U70" s="596"/>
      <c r="V70" s="594" t="s">
        <v>1219</v>
      </c>
      <c r="W70" s="595"/>
      <c r="X70" s="595"/>
      <c r="Y70" s="595"/>
      <c r="Z70" s="595"/>
      <c r="AA70" s="595"/>
      <c r="AB70" s="595"/>
      <c r="AC70" s="595"/>
      <c r="AD70" s="596"/>
      <c r="AE70" s="594" t="s">
        <v>1219</v>
      </c>
      <c r="AF70" s="595"/>
      <c r="AG70" s="595"/>
      <c r="AH70" s="595"/>
      <c r="AI70" s="596"/>
    </row>
    <row r="71" spans="1:35" ht="11.85" customHeight="1">
      <c r="A71" s="730" t="s">
        <v>2465</v>
      </c>
      <c r="B71" s="731"/>
      <c r="C71" s="731"/>
      <c r="D71" s="731"/>
      <c r="E71" s="731"/>
      <c r="F71" s="731"/>
      <c r="G71" s="731"/>
      <c r="H71" s="731"/>
      <c r="I71" s="731"/>
      <c r="J71" s="731"/>
      <c r="K71" s="731"/>
      <c r="L71" s="731"/>
      <c r="M71" s="731"/>
      <c r="N71" s="732"/>
      <c r="O71" s="698" t="s">
        <v>942</v>
      </c>
      <c r="P71" s="700"/>
      <c r="Q71" s="700"/>
      <c r="R71" s="700"/>
      <c r="S71" s="700"/>
      <c r="T71" s="700"/>
      <c r="U71" s="699"/>
      <c r="V71" s="698" t="s">
        <v>599</v>
      </c>
      <c r="W71" s="700"/>
      <c r="X71" s="700"/>
      <c r="Y71" s="700"/>
      <c r="Z71" s="700"/>
      <c r="AA71" s="700"/>
      <c r="AB71" s="700"/>
      <c r="AC71" s="700"/>
      <c r="AD71" s="699"/>
      <c r="AE71" s="698" t="s">
        <v>2455</v>
      </c>
      <c r="AF71" s="700"/>
      <c r="AG71" s="700"/>
      <c r="AH71" s="700"/>
      <c r="AI71" s="699"/>
    </row>
    <row r="72" spans="1:35" ht="11.1" customHeight="1">
      <c r="A72" s="683" t="s">
        <v>2466</v>
      </c>
      <c r="B72" s="652"/>
      <c r="C72" s="652"/>
      <c r="D72" s="652"/>
      <c r="E72" s="652"/>
      <c r="F72" s="652"/>
      <c r="G72" s="652"/>
      <c r="H72" s="652"/>
      <c r="I72" s="652"/>
      <c r="J72" s="652"/>
      <c r="K72" s="652"/>
      <c r="L72" s="652"/>
      <c r="M72" s="652"/>
      <c r="N72" s="684"/>
      <c r="O72" s="629" t="s">
        <v>2467</v>
      </c>
      <c r="P72" s="630"/>
      <c r="Q72" s="630"/>
      <c r="R72" s="630"/>
      <c r="S72" s="630"/>
      <c r="T72" s="630"/>
      <c r="U72" s="630"/>
      <c r="V72" s="630"/>
      <c r="W72" s="630"/>
      <c r="X72" s="630"/>
      <c r="Y72" s="630"/>
      <c r="Z72" s="630"/>
      <c r="AA72" s="630"/>
      <c r="AB72" s="630"/>
      <c r="AC72" s="630"/>
      <c r="AD72" s="630"/>
      <c r="AE72" s="630"/>
      <c r="AF72" s="630"/>
      <c r="AG72" s="630"/>
      <c r="AH72" s="630"/>
      <c r="AI72" s="631"/>
    </row>
    <row r="73" spans="1:35" ht="11.85" customHeight="1">
      <c r="A73" s="674" t="s">
        <v>2468</v>
      </c>
      <c r="B73" s="675"/>
      <c r="C73" s="675"/>
      <c r="D73" s="675"/>
      <c r="E73" s="675"/>
      <c r="F73" s="675"/>
      <c r="G73" s="675"/>
      <c r="H73" s="675"/>
      <c r="I73" s="675"/>
      <c r="J73" s="675"/>
      <c r="K73" s="675"/>
      <c r="L73" s="675"/>
      <c r="M73" s="675"/>
      <c r="N73" s="676"/>
      <c r="O73" s="629" t="s">
        <v>2467</v>
      </c>
      <c r="P73" s="630"/>
      <c r="Q73" s="630"/>
      <c r="R73" s="630"/>
      <c r="S73" s="630"/>
      <c r="T73" s="630"/>
      <c r="U73" s="630"/>
      <c r="V73" s="630"/>
      <c r="W73" s="630"/>
      <c r="X73" s="630"/>
      <c r="Y73" s="630"/>
      <c r="Z73" s="630"/>
      <c r="AA73" s="630"/>
      <c r="AB73" s="630"/>
      <c r="AC73" s="630"/>
      <c r="AD73" s="630"/>
      <c r="AE73" s="630"/>
      <c r="AF73" s="630"/>
      <c r="AG73" s="630"/>
      <c r="AH73" s="630"/>
      <c r="AI73" s="631"/>
    </row>
    <row r="74" spans="1:35" ht="17.850000000000001" customHeight="1">
      <c r="A74" s="713" t="s">
        <v>2469</v>
      </c>
      <c r="B74" s="714"/>
      <c r="C74" s="714"/>
      <c r="D74" s="714"/>
      <c r="E74" s="714"/>
      <c r="F74" s="714"/>
      <c r="G74" s="714"/>
      <c r="H74" s="714"/>
      <c r="I74" s="714"/>
      <c r="J74" s="714"/>
      <c r="K74" s="714"/>
      <c r="L74" s="714"/>
      <c r="M74" s="714"/>
      <c r="N74" s="715"/>
      <c r="O74" s="692" t="s">
        <v>1219</v>
      </c>
      <c r="P74" s="693"/>
      <c r="Q74" s="693"/>
      <c r="R74" s="693"/>
      <c r="S74" s="693"/>
      <c r="T74" s="693"/>
      <c r="U74" s="694"/>
      <c r="V74" s="692" t="s">
        <v>2470</v>
      </c>
      <c r="W74" s="693"/>
      <c r="X74" s="693"/>
      <c r="Y74" s="693"/>
      <c r="Z74" s="693"/>
      <c r="AA74" s="693"/>
      <c r="AB74" s="693"/>
      <c r="AC74" s="693"/>
      <c r="AD74" s="694"/>
      <c r="AE74" s="692" t="s">
        <v>2471</v>
      </c>
      <c r="AF74" s="693"/>
      <c r="AG74" s="693"/>
      <c r="AH74" s="693"/>
      <c r="AI74" s="694"/>
    </row>
    <row r="75" spans="1:35" ht="17.100000000000001" customHeight="1">
      <c r="A75" s="709" t="s">
        <v>2472</v>
      </c>
      <c r="B75" s="710"/>
      <c r="C75" s="710"/>
      <c r="D75" s="710"/>
      <c r="E75" s="710"/>
      <c r="F75" s="710"/>
      <c r="G75" s="710"/>
      <c r="H75" s="710"/>
      <c r="I75" s="710"/>
      <c r="J75" s="710"/>
      <c r="K75" s="710"/>
      <c r="L75" s="710"/>
      <c r="M75" s="710"/>
      <c r="N75" s="711"/>
      <c r="O75" s="692" t="s">
        <v>1219</v>
      </c>
      <c r="P75" s="693"/>
      <c r="Q75" s="693"/>
      <c r="R75" s="693"/>
      <c r="S75" s="693"/>
      <c r="T75" s="693"/>
      <c r="U75" s="694"/>
      <c r="V75" s="751"/>
      <c r="W75" s="752"/>
      <c r="X75" s="752"/>
      <c r="Y75" s="752"/>
      <c r="Z75" s="752"/>
      <c r="AA75" s="752"/>
      <c r="AB75" s="752"/>
      <c r="AC75" s="752"/>
      <c r="AD75" s="753"/>
      <c r="AE75" s="751"/>
      <c r="AF75" s="752"/>
      <c r="AG75" s="752"/>
      <c r="AH75" s="752"/>
      <c r="AI75" s="753"/>
    </row>
    <row r="76" spans="1:35" ht="17.850000000000001" customHeight="1">
      <c r="A76" s="695" t="s">
        <v>2473</v>
      </c>
      <c r="B76" s="696"/>
      <c r="C76" s="696"/>
      <c r="D76" s="696"/>
      <c r="E76" s="696"/>
      <c r="F76" s="696"/>
      <c r="G76" s="696"/>
      <c r="H76" s="696"/>
      <c r="I76" s="696"/>
      <c r="J76" s="696"/>
      <c r="K76" s="696"/>
      <c r="L76" s="696"/>
      <c r="M76" s="696"/>
      <c r="N76" s="697"/>
      <c r="O76" s="688" t="s">
        <v>1219</v>
      </c>
      <c r="P76" s="689"/>
      <c r="Q76" s="689"/>
      <c r="R76" s="689"/>
      <c r="S76" s="689"/>
      <c r="T76" s="689"/>
      <c r="U76" s="690"/>
      <c r="V76" s="688" t="s">
        <v>2474</v>
      </c>
      <c r="W76" s="689"/>
      <c r="X76" s="689"/>
      <c r="Y76" s="689"/>
      <c r="Z76" s="689"/>
      <c r="AA76" s="689"/>
      <c r="AB76" s="689"/>
      <c r="AC76" s="689"/>
      <c r="AD76" s="690"/>
      <c r="AE76" s="751"/>
      <c r="AF76" s="752"/>
      <c r="AG76" s="752"/>
      <c r="AH76" s="752"/>
      <c r="AI76" s="753"/>
    </row>
    <row r="77" spans="1:35" ht="11.85" customHeight="1">
      <c r="A77" s="661"/>
      <c r="B77" s="661"/>
      <c r="C77" s="661"/>
      <c r="D77" s="661"/>
      <c r="E77" s="661"/>
      <c r="F77" s="661"/>
      <c r="G77" s="661"/>
      <c r="H77" s="661"/>
      <c r="I77" s="661"/>
      <c r="J77" s="661"/>
      <c r="K77" s="661"/>
      <c r="L77" s="661"/>
      <c r="M77" s="661"/>
      <c r="N77" s="661"/>
      <c r="O77" s="661"/>
      <c r="P77" s="661"/>
      <c r="Q77" s="661"/>
      <c r="R77" s="661"/>
      <c r="S77" s="661"/>
      <c r="T77" s="661"/>
      <c r="U77" s="661"/>
      <c r="V77" s="661"/>
      <c r="W77" s="661"/>
      <c r="X77" s="661"/>
      <c r="Y77" s="661"/>
      <c r="Z77" s="661"/>
      <c r="AA77" s="661"/>
      <c r="AB77" s="661"/>
      <c r="AC77" s="661"/>
      <c r="AD77" s="661"/>
      <c r="AE77" s="661"/>
      <c r="AF77" s="661"/>
      <c r="AG77" s="661"/>
      <c r="AH77" s="661"/>
      <c r="AI77" s="661"/>
    </row>
    <row r="78" spans="1:35" ht="11.1" customHeight="1">
      <c r="A78" s="722" t="s">
        <v>2475</v>
      </c>
      <c r="B78" s="723"/>
      <c r="C78" s="723"/>
      <c r="D78" s="723"/>
      <c r="E78" s="723"/>
      <c r="F78" s="723"/>
      <c r="G78" s="723"/>
      <c r="H78" s="723"/>
      <c r="I78" s="723"/>
      <c r="J78" s="723"/>
      <c r="K78" s="724"/>
      <c r="L78" s="597" t="s">
        <v>2476</v>
      </c>
      <c r="M78" s="602"/>
      <c r="N78" s="602"/>
      <c r="O78" s="602"/>
      <c r="P78" s="602"/>
      <c r="Q78" s="602"/>
      <c r="R78" s="602"/>
      <c r="S78" s="602"/>
      <c r="T78" s="602"/>
      <c r="U78" s="602"/>
      <c r="V78" s="602"/>
      <c r="W78" s="602"/>
      <c r="X78" s="602"/>
      <c r="Y78" s="602"/>
      <c r="Z78" s="602"/>
      <c r="AA78" s="602"/>
      <c r="AB78" s="602"/>
      <c r="AC78" s="602"/>
      <c r="AD78" s="602"/>
      <c r="AE78" s="602"/>
      <c r="AF78" s="602"/>
      <c r="AG78" s="602"/>
      <c r="AH78" s="602"/>
      <c r="AI78" s="603"/>
    </row>
    <row r="79" spans="1:35" ht="17.850000000000001" customHeight="1">
      <c r="A79" s="738"/>
      <c r="B79" s="739"/>
      <c r="C79" s="739"/>
      <c r="D79" s="739"/>
      <c r="E79" s="739"/>
      <c r="F79" s="739"/>
      <c r="G79" s="739"/>
      <c r="H79" s="739"/>
      <c r="I79" s="739"/>
      <c r="J79" s="739"/>
      <c r="K79" s="740"/>
      <c r="L79" s="597" t="s">
        <v>2477</v>
      </c>
      <c r="M79" s="728"/>
      <c r="N79" s="728"/>
      <c r="O79" s="728"/>
      <c r="P79" s="728"/>
      <c r="Q79" s="728"/>
      <c r="R79" s="599"/>
      <c r="S79" s="597" t="s">
        <v>2478</v>
      </c>
      <c r="T79" s="602"/>
      <c r="U79" s="602"/>
      <c r="V79" s="602"/>
      <c r="W79" s="602"/>
      <c r="X79" s="602"/>
      <c r="Y79" s="602"/>
      <c r="Z79" s="602"/>
      <c r="AA79" s="602"/>
      <c r="AB79" s="602"/>
      <c r="AC79" s="602"/>
      <c r="AD79" s="603"/>
      <c r="AE79" s="597" t="s">
        <v>2479</v>
      </c>
      <c r="AF79" s="728"/>
      <c r="AG79" s="728"/>
      <c r="AH79" s="728"/>
      <c r="AI79" s="599"/>
    </row>
    <row r="80" spans="1:35" ht="23.65" customHeight="1">
      <c r="A80" s="725"/>
      <c r="B80" s="726"/>
      <c r="C80" s="726"/>
      <c r="D80" s="726"/>
      <c r="E80" s="726"/>
      <c r="F80" s="726"/>
      <c r="G80" s="726"/>
      <c r="H80" s="726"/>
      <c r="I80" s="726"/>
      <c r="J80" s="726"/>
      <c r="K80" s="727"/>
      <c r="L80" s="600"/>
      <c r="M80" s="729"/>
      <c r="N80" s="729"/>
      <c r="O80" s="729"/>
      <c r="P80" s="729"/>
      <c r="Q80" s="729"/>
      <c r="R80" s="601"/>
      <c r="S80" s="597" t="s">
        <v>2480</v>
      </c>
      <c r="T80" s="602"/>
      <c r="U80" s="602"/>
      <c r="V80" s="603"/>
      <c r="W80" s="597" t="s">
        <v>2481</v>
      </c>
      <c r="X80" s="602"/>
      <c r="Y80" s="602"/>
      <c r="Z80" s="603"/>
      <c r="AA80" s="597" t="s">
        <v>2482</v>
      </c>
      <c r="AB80" s="602"/>
      <c r="AC80" s="602"/>
      <c r="AD80" s="603"/>
      <c r="AE80" s="600"/>
      <c r="AF80" s="729"/>
      <c r="AG80" s="729"/>
      <c r="AH80" s="729"/>
      <c r="AI80" s="601"/>
    </row>
    <row r="81" spans="1:35" ht="11.1" customHeight="1">
      <c r="A81" s="683" t="s">
        <v>2483</v>
      </c>
      <c r="B81" s="652"/>
      <c r="C81" s="652"/>
      <c r="D81" s="652"/>
      <c r="E81" s="652"/>
      <c r="F81" s="652"/>
      <c r="G81" s="652"/>
      <c r="H81" s="652"/>
      <c r="I81" s="652"/>
      <c r="J81" s="652"/>
      <c r="K81" s="684"/>
      <c r="L81" s="748"/>
      <c r="M81" s="749"/>
      <c r="N81" s="749"/>
      <c r="O81" s="749"/>
      <c r="P81" s="749"/>
      <c r="Q81" s="749"/>
      <c r="R81" s="750"/>
      <c r="S81" s="748"/>
      <c r="T81" s="749"/>
      <c r="U81" s="749"/>
      <c r="V81" s="750"/>
      <c r="W81" s="748"/>
      <c r="X81" s="749"/>
      <c r="Y81" s="749"/>
      <c r="Z81" s="750"/>
      <c r="AA81" s="748"/>
      <c r="AB81" s="749"/>
      <c r="AC81" s="749"/>
      <c r="AD81" s="750"/>
      <c r="AE81" s="606" t="s">
        <v>1219</v>
      </c>
      <c r="AF81" s="607"/>
      <c r="AG81" s="607"/>
      <c r="AH81" s="607"/>
      <c r="AI81" s="608"/>
    </row>
    <row r="82" spans="1:35" ht="11.85" customHeight="1">
      <c r="A82" s="674" t="s">
        <v>2484</v>
      </c>
      <c r="B82" s="675"/>
      <c r="C82" s="675"/>
      <c r="D82" s="675"/>
      <c r="E82" s="675"/>
      <c r="F82" s="675"/>
      <c r="G82" s="675"/>
      <c r="H82" s="675"/>
      <c r="I82" s="675"/>
      <c r="J82" s="675"/>
      <c r="K82" s="676"/>
      <c r="L82" s="606" t="s">
        <v>1219</v>
      </c>
      <c r="M82" s="607"/>
      <c r="N82" s="607"/>
      <c r="O82" s="607"/>
      <c r="P82" s="607"/>
      <c r="Q82" s="607"/>
      <c r="R82" s="608"/>
      <c r="S82" s="606" t="s">
        <v>1219</v>
      </c>
      <c r="T82" s="607"/>
      <c r="U82" s="607"/>
      <c r="V82" s="608"/>
      <c r="W82" s="606" t="s">
        <v>1219</v>
      </c>
      <c r="X82" s="607"/>
      <c r="Y82" s="607"/>
      <c r="Z82" s="608"/>
      <c r="AA82" s="606" t="s">
        <v>1219</v>
      </c>
      <c r="AB82" s="607"/>
      <c r="AC82" s="607"/>
      <c r="AD82" s="608"/>
      <c r="AE82" s="589" t="s">
        <v>1219</v>
      </c>
      <c r="AF82" s="590"/>
      <c r="AG82" s="590"/>
      <c r="AH82" s="590"/>
      <c r="AI82" s="591"/>
    </row>
    <row r="83" spans="1:35" ht="11.85" customHeight="1">
      <c r="A83" s="677" t="s">
        <v>2485</v>
      </c>
      <c r="B83" s="678"/>
      <c r="C83" s="678"/>
      <c r="D83" s="678"/>
      <c r="E83" s="678"/>
      <c r="F83" s="678"/>
      <c r="G83" s="678"/>
      <c r="H83" s="678"/>
      <c r="I83" s="678"/>
      <c r="J83" s="678"/>
      <c r="K83" s="679"/>
      <c r="L83" s="594" t="s">
        <v>1219</v>
      </c>
      <c r="M83" s="595"/>
      <c r="N83" s="595"/>
      <c r="O83" s="595"/>
      <c r="P83" s="595"/>
      <c r="Q83" s="595"/>
      <c r="R83" s="596"/>
      <c r="S83" s="594" t="s">
        <v>1219</v>
      </c>
      <c r="T83" s="595"/>
      <c r="U83" s="595"/>
      <c r="V83" s="596"/>
      <c r="W83" s="594" t="s">
        <v>1219</v>
      </c>
      <c r="X83" s="595"/>
      <c r="Y83" s="595"/>
      <c r="Z83" s="596"/>
      <c r="AA83" s="594" t="s">
        <v>1219</v>
      </c>
      <c r="AB83" s="595"/>
      <c r="AC83" s="595"/>
      <c r="AD83" s="596"/>
      <c r="AE83" s="594" t="s">
        <v>1219</v>
      </c>
      <c r="AF83" s="595"/>
      <c r="AG83" s="595"/>
      <c r="AH83" s="595"/>
      <c r="AI83" s="596"/>
    </row>
    <row r="84" spans="1:35" ht="11.85" customHeight="1">
      <c r="A84" s="730" t="s">
        <v>2486</v>
      </c>
      <c r="B84" s="731"/>
      <c r="C84" s="731"/>
      <c r="D84" s="731"/>
      <c r="E84" s="731"/>
      <c r="F84" s="731"/>
      <c r="G84" s="731"/>
      <c r="H84" s="731"/>
      <c r="I84" s="731"/>
      <c r="J84" s="731"/>
      <c r="K84" s="732"/>
      <c r="L84" s="698" t="s">
        <v>1219</v>
      </c>
      <c r="M84" s="700"/>
      <c r="N84" s="700"/>
      <c r="O84" s="700"/>
      <c r="P84" s="700"/>
      <c r="Q84" s="700"/>
      <c r="R84" s="699"/>
      <c r="S84" s="698" t="s">
        <v>1219</v>
      </c>
      <c r="T84" s="700"/>
      <c r="U84" s="700"/>
      <c r="V84" s="699"/>
      <c r="W84" s="698" t="s">
        <v>1219</v>
      </c>
      <c r="X84" s="700"/>
      <c r="Y84" s="700"/>
      <c r="Z84" s="699"/>
      <c r="AA84" s="698" t="s">
        <v>1219</v>
      </c>
      <c r="AB84" s="700"/>
      <c r="AC84" s="700"/>
      <c r="AD84" s="699"/>
      <c r="AE84" s="698" t="s">
        <v>1219</v>
      </c>
      <c r="AF84" s="700"/>
      <c r="AG84" s="700"/>
      <c r="AH84" s="700"/>
      <c r="AI84" s="699"/>
    </row>
    <row r="85" spans="1:35" ht="11.1" customHeight="1">
      <c r="A85" s="618"/>
      <c r="B85" s="618"/>
      <c r="C85" s="618"/>
      <c r="D85" s="618"/>
      <c r="E85" s="618"/>
      <c r="F85" s="618"/>
      <c r="G85" s="618"/>
      <c r="H85" s="618"/>
      <c r="I85" s="618"/>
      <c r="J85" s="618"/>
      <c r="K85" s="618"/>
      <c r="L85" s="618"/>
      <c r="M85" s="618"/>
      <c r="N85" s="618"/>
      <c r="O85" s="618"/>
      <c r="P85" s="618"/>
      <c r="Q85" s="618"/>
      <c r="R85" s="618"/>
      <c r="S85" s="618"/>
      <c r="T85" s="618"/>
      <c r="U85" s="618"/>
      <c r="V85" s="618"/>
      <c r="W85" s="618"/>
      <c r="X85" s="618"/>
      <c r="Y85" s="618"/>
      <c r="Z85" s="618"/>
      <c r="AA85" s="618"/>
      <c r="AB85" s="618"/>
      <c r="AC85" s="618"/>
      <c r="AD85" s="618"/>
      <c r="AE85" s="618"/>
      <c r="AF85" s="618"/>
      <c r="AG85" s="618"/>
      <c r="AH85" s="618"/>
      <c r="AI85" s="618"/>
    </row>
    <row r="86" spans="1:35" ht="58.5" customHeight="1"/>
    <row r="87" spans="1:35" ht="11.85" customHeight="1">
      <c r="A87" s="615" t="s">
        <v>1332</v>
      </c>
      <c r="B87" s="615"/>
      <c r="C87" s="615"/>
      <c r="D87" s="615"/>
      <c r="E87" s="615"/>
      <c r="F87" s="615"/>
      <c r="G87" s="615"/>
      <c r="AH87" s="448" t="s">
        <v>1910</v>
      </c>
    </row>
    <row r="88" spans="1:35" ht="11.1" customHeight="1">
      <c r="A88" s="615" t="s">
        <v>1206</v>
      </c>
      <c r="B88" s="615"/>
      <c r="C88" s="615"/>
      <c r="D88" s="615"/>
      <c r="E88" s="615"/>
      <c r="F88" s="615"/>
      <c r="G88" s="615"/>
    </row>
    <row r="89" spans="1:35" ht="11.85" customHeight="1">
      <c r="A89" s="619" t="s">
        <v>2336</v>
      </c>
      <c r="B89" s="619"/>
      <c r="C89" s="619"/>
      <c r="D89" s="619"/>
      <c r="E89" s="619"/>
      <c r="F89" s="619"/>
      <c r="G89" s="619"/>
    </row>
    <row r="90" spans="1:35" ht="11.85" customHeight="1">
      <c r="A90" s="615" t="s">
        <v>1335</v>
      </c>
      <c r="B90" s="615"/>
      <c r="C90" s="615"/>
      <c r="D90" s="615"/>
      <c r="E90" s="615"/>
      <c r="F90" s="615"/>
      <c r="G90" s="615"/>
    </row>
    <row r="91" spans="1:35" ht="11.85" customHeight="1">
      <c r="A91" s="615" t="s">
        <v>1209</v>
      </c>
      <c r="B91" s="615"/>
      <c r="C91" s="615"/>
      <c r="D91" s="615"/>
      <c r="E91" s="615"/>
      <c r="F91" s="615"/>
      <c r="G91" s="615"/>
    </row>
    <row r="92" spans="1:35" ht="5.85" customHeight="1"/>
    <row r="93" spans="1:35" ht="11.1" customHeight="1">
      <c r="A93" s="616" t="s">
        <v>2337</v>
      </c>
      <c r="B93" s="616"/>
      <c r="C93" s="616"/>
      <c r="D93" s="616"/>
      <c r="E93" s="616"/>
      <c r="F93" s="616"/>
      <c r="G93" s="616"/>
      <c r="H93" s="449"/>
      <c r="I93" s="449"/>
      <c r="J93" s="449"/>
      <c r="K93" s="449"/>
      <c r="L93" s="449"/>
      <c r="M93" s="449"/>
      <c r="N93" s="449"/>
      <c r="O93" s="449"/>
      <c r="P93" s="449"/>
      <c r="Q93" s="449"/>
      <c r="R93" s="449"/>
      <c r="S93" s="449"/>
      <c r="T93" s="449"/>
      <c r="U93" s="449"/>
      <c r="V93" s="449"/>
      <c r="W93" s="449"/>
      <c r="X93" s="449"/>
      <c r="Y93" s="449"/>
      <c r="Z93" s="449"/>
      <c r="AA93" s="449"/>
      <c r="AB93" s="449"/>
      <c r="AC93" s="449"/>
      <c r="AD93" s="449"/>
      <c r="AE93" s="449"/>
      <c r="AF93" s="449"/>
      <c r="AG93" s="449"/>
      <c r="AH93" s="449"/>
      <c r="AI93" s="449"/>
    </row>
    <row r="94" spans="1:35" ht="17.850000000000001" customHeight="1">
      <c r="A94" s="611" t="s">
        <v>2487</v>
      </c>
      <c r="B94" s="612"/>
      <c r="C94" s="612"/>
      <c r="D94" s="612"/>
      <c r="E94" s="612"/>
      <c r="F94" s="612"/>
      <c r="G94" s="612"/>
      <c r="H94" s="612"/>
      <c r="I94" s="612"/>
      <c r="J94" s="612"/>
      <c r="K94" s="612"/>
      <c r="L94" s="612"/>
      <c r="M94" s="612"/>
      <c r="N94" s="612"/>
      <c r="O94" s="612"/>
      <c r="P94" s="612"/>
      <c r="Q94" s="612"/>
      <c r="R94" s="612"/>
      <c r="S94" s="612"/>
      <c r="T94" s="612"/>
      <c r="U94" s="612"/>
      <c r="V94" s="612"/>
      <c r="W94" s="612"/>
      <c r="X94" s="612"/>
      <c r="Y94" s="612"/>
      <c r="Z94" s="612"/>
      <c r="AA94" s="612"/>
      <c r="AB94" s="612"/>
      <c r="AC94" s="612"/>
      <c r="AD94" s="612"/>
      <c r="AE94" s="612"/>
      <c r="AF94" s="612"/>
      <c r="AG94" s="612"/>
      <c r="AH94" s="612"/>
      <c r="AI94" s="613"/>
    </row>
    <row r="95" spans="1:35" ht="40.700000000000003" customHeight="1">
      <c r="A95" s="609" t="s">
        <v>2488</v>
      </c>
      <c r="B95" s="747"/>
      <c r="C95" s="451" t="s">
        <v>2489</v>
      </c>
      <c r="D95" s="451" t="s">
        <v>2490</v>
      </c>
      <c r="E95" s="597" t="s">
        <v>2491</v>
      </c>
      <c r="F95" s="603"/>
      <c r="G95" s="597" t="s">
        <v>2492</v>
      </c>
      <c r="H95" s="603"/>
      <c r="I95" s="597" t="s">
        <v>2493</v>
      </c>
      <c r="J95" s="602"/>
      <c r="K95" s="602"/>
      <c r="L95" s="602"/>
      <c r="M95" s="603"/>
      <c r="N95" s="597" t="s">
        <v>2494</v>
      </c>
      <c r="O95" s="602"/>
      <c r="P95" s="602"/>
      <c r="Q95" s="603"/>
      <c r="R95" s="597" t="s">
        <v>2495</v>
      </c>
      <c r="S95" s="602"/>
      <c r="T95" s="602"/>
      <c r="U95" s="602"/>
      <c r="V95" s="603"/>
      <c r="W95" s="597" t="s">
        <v>2496</v>
      </c>
      <c r="X95" s="602"/>
      <c r="Y95" s="602"/>
      <c r="Z95" s="602"/>
      <c r="AA95" s="602"/>
      <c r="AB95" s="603"/>
      <c r="AC95" s="597" t="s">
        <v>2497</v>
      </c>
      <c r="AD95" s="602"/>
      <c r="AE95" s="602"/>
      <c r="AF95" s="603"/>
      <c r="AG95" s="597" t="s">
        <v>2498</v>
      </c>
      <c r="AH95" s="602"/>
      <c r="AI95" s="603"/>
    </row>
    <row r="96" spans="1:35" ht="11.85" customHeight="1">
      <c r="A96" s="683" t="s">
        <v>2499</v>
      </c>
      <c r="B96" s="684"/>
      <c r="C96" s="453" t="s">
        <v>2467</v>
      </c>
      <c r="D96" s="453" t="s">
        <v>599</v>
      </c>
      <c r="E96" s="606" t="s">
        <v>2470</v>
      </c>
      <c r="F96" s="608"/>
      <c r="G96" s="606" t="s">
        <v>1219</v>
      </c>
      <c r="H96" s="608"/>
      <c r="I96" s="606" t="s">
        <v>1219</v>
      </c>
      <c r="J96" s="607"/>
      <c r="K96" s="607"/>
      <c r="L96" s="607"/>
      <c r="M96" s="608"/>
      <c r="N96" s="606" t="s">
        <v>1219</v>
      </c>
      <c r="O96" s="607"/>
      <c r="P96" s="607"/>
      <c r="Q96" s="608"/>
      <c r="R96" s="606" t="s">
        <v>1219</v>
      </c>
      <c r="S96" s="607"/>
      <c r="T96" s="607"/>
      <c r="U96" s="607"/>
      <c r="V96" s="608"/>
      <c r="W96" s="606" t="s">
        <v>1219</v>
      </c>
      <c r="X96" s="607"/>
      <c r="Y96" s="607"/>
      <c r="Z96" s="607"/>
      <c r="AA96" s="607"/>
      <c r="AB96" s="608"/>
      <c r="AC96" s="606" t="s">
        <v>1219</v>
      </c>
      <c r="AD96" s="607"/>
      <c r="AE96" s="607"/>
      <c r="AF96" s="608"/>
      <c r="AG96" s="606" t="s">
        <v>2470</v>
      </c>
      <c r="AH96" s="607"/>
      <c r="AI96" s="608"/>
    </row>
    <row r="97" spans="1:35" ht="11.85" customHeight="1">
      <c r="A97" s="674" t="s">
        <v>2500</v>
      </c>
      <c r="B97" s="676"/>
      <c r="C97" s="455" t="s">
        <v>1219</v>
      </c>
      <c r="D97" s="455" t="s">
        <v>1219</v>
      </c>
      <c r="E97" s="589" t="s">
        <v>1219</v>
      </c>
      <c r="F97" s="591"/>
      <c r="G97" s="589" t="s">
        <v>1219</v>
      </c>
      <c r="H97" s="591"/>
      <c r="I97" s="589" t="s">
        <v>1219</v>
      </c>
      <c r="J97" s="590"/>
      <c r="K97" s="590"/>
      <c r="L97" s="590"/>
      <c r="M97" s="591"/>
      <c r="N97" s="589" t="s">
        <v>1219</v>
      </c>
      <c r="O97" s="590"/>
      <c r="P97" s="590"/>
      <c r="Q97" s="591"/>
      <c r="R97" s="589" t="s">
        <v>1219</v>
      </c>
      <c r="S97" s="590"/>
      <c r="T97" s="590"/>
      <c r="U97" s="590"/>
      <c r="V97" s="591"/>
      <c r="W97" s="589" t="s">
        <v>1219</v>
      </c>
      <c r="X97" s="590"/>
      <c r="Y97" s="590"/>
      <c r="Z97" s="590"/>
      <c r="AA97" s="590"/>
      <c r="AB97" s="591"/>
      <c r="AC97" s="589" t="s">
        <v>1219</v>
      </c>
      <c r="AD97" s="590"/>
      <c r="AE97" s="590"/>
      <c r="AF97" s="591"/>
      <c r="AG97" s="589" t="s">
        <v>1219</v>
      </c>
      <c r="AH97" s="590"/>
      <c r="AI97" s="591"/>
    </row>
    <row r="98" spans="1:35" ht="11.1" customHeight="1">
      <c r="A98" s="674" t="s">
        <v>2501</v>
      </c>
      <c r="B98" s="676"/>
      <c r="C98" s="455" t="s">
        <v>1219</v>
      </c>
      <c r="D98" s="455" t="s">
        <v>1219</v>
      </c>
      <c r="E98" s="589" t="s">
        <v>1219</v>
      </c>
      <c r="F98" s="591"/>
      <c r="G98" s="589" t="s">
        <v>1219</v>
      </c>
      <c r="H98" s="591"/>
      <c r="I98" s="589" t="s">
        <v>1219</v>
      </c>
      <c r="J98" s="590"/>
      <c r="K98" s="590"/>
      <c r="L98" s="590"/>
      <c r="M98" s="591"/>
      <c r="N98" s="589" t="s">
        <v>1219</v>
      </c>
      <c r="O98" s="590"/>
      <c r="P98" s="590"/>
      <c r="Q98" s="591"/>
      <c r="R98" s="589" t="s">
        <v>1219</v>
      </c>
      <c r="S98" s="590"/>
      <c r="T98" s="590"/>
      <c r="U98" s="590"/>
      <c r="V98" s="591"/>
      <c r="W98" s="589" t="s">
        <v>1219</v>
      </c>
      <c r="X98" s="590"/>
      <c r="Y98" s="590"/>
      <c r="Z98" s="590"/>
      <c r="AA98" s="590"/>
      <c r="AB98" s="591"/>
      <c r="AC98" s="589" t="s">
        <v>1219</v>
      </c>
      <c r="AD98" s="590"/>
      <c r="AE98" s="590"/>
      <c r="AF98" s="591"/>
      <c r="AG98" s="589" t="s">
        <v>1219</v>
      </c>
      <c r="AH98" s="590"/>
      <c r="AI98" s="591"/>
    </row>
    <row r="99" spans="1:35" ht="11.85" customHeight="1">
      <c r="A99" s="674" t="s">
        <v>2502</v>
      </c>
      <c r="B99" s="676"/>
      <c r="C99" s="455" t="s">
        <v>1219</v>
      </c>
      <c r="D99" s="455" t="s">
        <v>1219</v>
      </c>
      <c r="E99" s="589" t="s">
        <v>1219</v>
      </c>
      <c r="F99" s="591"/>
      <c r="G99" s="589" t="s">
        <v>1219</v>
      </c>
      <c r="H99" s="591"/>
      <c r="I99" s="589" t="s">
        <v>1219</v>
      </c>
      <c r="J99" s="590"/>
      <c r="K99" s="590"/>
      <c r="L99" s="590"/>
      <c r="M99" s="591"/>
      <c r="N99" s="589" t="s">
        <v>1219</v>
      </c>
      <c r="O99" s="590"/>
      <c r="P99" s="590"/>
      <c r="Q99" s="591"/>
      <c r="R99" s="589" t="s">
        <v>1219</v>
      </c>
      <c r="S99" s="590"/>
      <c r="T99" s="590"/>
      <c r="U99" s="590"/>
      <c r="V99" s="591"/>
      <c r="W99" s="589" t="s">
        <v>1219</v>
      </c>
      <c r="X99" s="590"/>
      <c r="Y99" s="590"/>
      <c r="Z99" s="590"/>
      <c r="AA99" s="590"/>
      <c r="AB99" s="591"/>
      <c r="AC99" s="589" t="s">
        <v>1219</v>
      </c>
      <c r="AD99" s="590"/>
      <c r="AE99" s="590"/>
      <c r="AF99" s="591"/>
      <c r="AG99" s="589" t="s">
        <v>1219</v>
      </c>
      <c r="AH99" s="590"/>
      <c r="AI99" s="591"/>
    </row>
    <row r="100" spans="1:35" ht="11.85" customHeight="1">
      <c r="A100" s="674" t="s">
        <v>2503</v>
      </c>
      <c r="B100" s="676"/>
      <c r="C100" s="455" t="s">
        <v>1219</v>
      </c>
      <c r="D100" s="455" t="s">
        <v>1219</v>
      </c>
      <c r="E100" s="589" t="s">
        <v>1219</v>
      </c>
      <c r="F100" s="591"/>
      <c r="G100" s="589" t="s">
        <v>1219</v>
      </c>
      <c r="H100" s="591"/>
      <c r="I100" s="589" t="s">
        <v>1219</v>
      </c>
      <c r="J100" s="590"/>
      <c r="K100" s="590"/>
      <c r="L100" s="590"/>
      <c r="M100" s="591"/>
      <c r="N100" s="589" t="s">
        <v>1219</v>
      </c>
      <c r="O100" s="590"/>
      <c r="P100" s="590"/>
      <c r="Q100" s="591"/>
      <c r="R100" s="589" t="s">
        <v>1219</v>
      </c>
      <c r="S100" s="590"/>
      <c r="T100" s="590"/>
      <c r="U100" s="590"/>
      <c r="V100" s="591"/>
      <c r="W100" s="589" t="s">
        <v>1219</v>
      </c>
      <c r="X100" s="590"/>
      <c r="Y100" s="590"/>
      <c r="Z100" s="590"/>
      <c r="AA100" s="590"/>
      <c r="AB100" s="591"/>
      <c r="AC100" s="589" t="s">
        <v>1219</v>
      </c>
      <c r="AD100" s="590"/>
      <c r="AE100" s="590"/>
      <c r="AF100" s="591"/>
      <c r="AG100" s="589" t="s">
        <v>1219</v>
      </c>
      <c r="AH100" s="590"/>
      <c r="AI100" s="591"/>
    </row>
    <row r="101" spans="1:35" ht="11.85" customHeight="1">
      <c r="A101" s="674" t="s">
        <v>2504</v>
      </c>
      <c r="B101" s="676"/>
      <c r="C101" s="455" t="s">
        <v>1219</v>
      </c>
      <c r="D101" s="455" t="s">
        <v>1219</v>
      </c>
      <c r="E101" s="589" t="s">
        <v>1219</v>
      </c>
      <c r="F101" s="591"/>
      <c r="G101" s="589" t="s">
        <v>1219</v>
      </c>
      <c r="H101" s="591"/>
      <c r="I101" s="589" t="s">
        <v>1219</v>
      </c>
      <c r="J101" s="590"/>
      <c r="K101" s="590"/>
      <c r="L101" s="590"/>
      <c r="M101" s="591"/>
      <c r="N101" s="589" t="s">
        <v>1219</v>
      </c>
      <c r="O101" s="590"/>
      <c r="P101" s="590"/>
      <c r="Q101" s="591"/>
      <c r="R101" s="589" t="s">
        <v>1219</v>
      </c>
      <c r="S101" s="590"/>
      <c r="T101" s="590"/>
      <c r="U101" s="590"/>
      <c r="V101" s="591"/>
      <c r="W101" s="589" t="s">
        <v>1219</v>
      </c>
      <c r="X101" s="590"/>
      <c r="Y101" s="590"/>
      <c r="Z101" s="590"/>
      <c r="AA101" s="590"/>
      <c r="AB101" s="591"/>
      <c r="AC101" s="589" t="s">
        <v>1219</v>
      </c>
      <c r="AD101" s="590"/>
      <c r="AE101" s="590"/>
      <c r="AF101" s="591"/>
      <c r="AG101" s="589" t="s">
        <v>1219</v>
      </c>
      <c r="AH101" s="590"/>
      <c r="AI101" s="591"/>
    </row>
    <row r="102" spans="1:35" ht="11.1" customHeight="1">
      <c r="A102" s="674" t="s">
        <v>2505</v>
      </c>
      <c r="B102" s="676"/>
      <c r="C102" s="455" t="s">
        <v>1219</v>
      </c>
      <c r="D102" s="455" t="s">
        <v>1219</v>
      </c>
      <c r="E102" s="589" t="s">
        <v>1219</v>
      </c>
      <c r="F102" s="591"/>
      <c r="G102" s="589" t="s">
        <v>1219</v>
      </c>
      <c r="H102" s="591"/>
      <c r="I102" s="589" t="s">
        <v>1219</v>
      </c>
      <c r="J102" s="590"/>
      <c r="K102" s="590"/>
      <c r="L102" s="590"/>
      <c r="M102" s="591"/>
      <c r="N102" s="589" t="s">
        <v>1219</v>
      </c>
      <c r="O102" s="590"/>
      <c r="P102" s="590"/>
      <c r="Q102" s="591"/>
      <c r="R102" s="589" t="s">
        <v>1219</v>
      </c>
      <c r="S102" s="590"/>
      <c r="T102" s="590"/>
      <c r="U102" s="590"/>
      <c r="V102" s="591"/>
      <c r="W102" s="589" t="s">
        <v>1219</v>
      </c>
      <c r="X102" s="590"/>
      <c r="Y102" s="590"/>
      <c r="Z102" s="590"/>
      <c r="AA102" s="590"/>
      <c r="AB102" s="591"/>
      <c r="AC102" s="589" t="s">
        <v>1219</v>
      </c>
      <c r="AD102" s="590"/>
      <c r="AE102" s="590"/>
      <c r="AF102" s="591"/>
      <c r="AG102" s="589" t="s">
        <v>1219</v>
      </c>
      <c r="AH102" s="590"/>
      <c r="AI102" s="591"/>
    </row>
    <row r="103" spans="1:35" ht="11.85" customHeight="1">
      <c r="A103" s="674" t="s">
        <v>2506</v>
      </c>
      <c r="B103" s="676"/>
      <c r="C103" s="455" t="s">
        <v>1219</v>
      </c>
      <c r="D103" s="455" t="s">
        <v>1219</v>
      </c>
      <c r="E103" s="589" t="s">
        <v>1219</v>
      </c>
      <c r="F103" s="591"/>
      <c r="G103" s="589" t="s">
        <v>1219</v>
      </c>
      <c r="H103" s="591"/>
      <c r="I103" s="589" t="s">
        <v>1219</v>
      </c>
      <c r="J103" s="590"/>
      <c r="K103" s="590"/>
      <c r="L103" s="590"/>
      <c r="M103" s="591"/>
      <c r="N103" s="589" t="s">
        <v>1219</v>
      </c>
      <c r="O103" s="590"/>
      <c r="P103" s="590"/>
      <c r="Q103" s="591"/>
      <c r="R103" s="589" t="s">
        <v>1219</v>
      </c>
      <c r="S103" s="590"/>
      <c r="T103" s="590"/>
      <c r="U103" s="590"/>
      <c r="V103" s="591"/>
      <c r="W103" s="589" t="s">
        <v>1219</v>
      </c>
      <c r="X103" s="590"/>
      <c r="Y103" s="590"/>
      <c r="Z103" s="590"/>
      <c r="AA103" s="590"/>
      <c r="AB103" s="591"/>
      <c r="AC103" s="589" t="s">
        <v>1219</v>
      </c>
      <c r="AD103" s="590"/>
      <c r="AE103" s="590"/>
      <c r="AF103" s="591"/>
      <c r="AG103" s="589" t="s">
        <v>1219</v>
      </c>
      <c r="AH103" s="590"/>
      <c r="AI103" s="591"/>
    </row>
    <row r="104" spans="1:35" ht="11.85" customHeight="1">
      <c r="A104" s="677" t="s">
        <v>2507</v>
      </c>
      <c r="B104" s="679"/>
      <c r="C104" s="457" t="s">
        <v>1219</v>
      </c>
      <c r="D104" s="457" t="s">
        <v>1219</v>
      </c>
      <c r="E104" s="594" t="s">
        <v>1219</v>
      </c>
      <c r="F104" s="596"/>
      <c r="G104" s="594" t="s">
        <v>1219</v>
      </c>
      <c r="H104" s="596"/>
      <c r="I104" s="594" t="s">
        <v>1219</v>
      </c>
      <c r="J104" s="595"/>
      <c r="K104" s="595"/>
      <c r="L104" s="595"/>
      <c r="M104" s="596"/>
      <c r="N104" s="594" t="s">
        <v>1219</v>
      </c>
      <c r="O104" s="595"/>
      <c r="P104" s="595"/>
      <c r="Q104" s="596"/>
      <c r="R104" s="594" t="s">
        <v>1219</v>
      </c>
      <c r="S104" s="595"/>
      <c r="T104" s="595"/>
      <c r="U104" s="595"/>
      <c r="V104" s="596"/>
      <c r="W104" s="594" t="s">
        <v>1219</v>
      </c>
      <c r="X104" s="595"/>
      <c r="Y104" s="595"/>
      <c r="Z104" s="595"/>
      <c r="AA104" s="595"/>
      <c r="AB104" s="596"/>
      <c r="AC104" s="594" t="s">
        <v>1219</v>
      </c>
      <c r="AD104" s="595"/>
      <c r="AE104" s="595"/>
      <c r="AF104" s="596"/>
      <c r="AG104" s="589" t="s">
        <v>1219</v>
      </c>
      <c r="AH104" s="595"/>
      <c r="AI104" s="591"/>
    </row>
    <row r="105" spans="1:35" ht="11.85" customHeight="1">
      <c r="A105" s="616"/>
      <c r="B105" s="661"/>
      <c r="C105" s="661"/>
      <c r="D105" s="661"/>
      <c r="E105" s="661"/>
      <c r="F105" s="661"/>
      <c r="G105" s="661"/>
      <c r="H105" s="661"/>
      <c r="I105" s="661"/>
      <c r="J105" s="661"/>
      <c r="K105" s="661"/>
      <c r="L105" s="661"/>
      <c r="M105" s="661"/>
      <c r="N105" s="661"/>
      <c r="O105" s="661"/>
      <c r="P105" s="661"/>
      <c r="Q105" s="661"/>
      <c r="R105" s="661"/>
      <c r="S105" s="661"/>
      <c r="T105" s="661"/>
      <c r="U105" s="661"/>
      <c r="V105" s="661"/>
      <c r="W105" s="661"/>
      <c r="X105" s="661"/>
      <c r="Y105" s="661"/>
      <c r="Z105" s="661"/>
      <c r="AA105" s="661"/>
      <c r="AB105" s="661"/>
      <c r="AC105" s="661"/>
      <c r="AD105" s="661"/>
      <c r="AE105" s="661"/>
      <c r="AF105" s="661"/>
      <c r="AG105" s="661"/>
      <c r="AH105" s="661"/>
      <c r="AI105" s="616"/>
    </row>
    <row r="106" spans="1:35" ht="11.1" customHeight="1">
      <c r="A106" s="741" t="s">
        <v>2508</v>
      </c>
      <c r="B106" s="742"/>
      <c r="C106" s="742"/>
      <c r="D106" s="742"/>
      <c r="E106" s="742"/>
      <c r="F106" s="742"/>
      <c r="G106" s="742"/>
      <c r="H106" s="742"/>
      <c r="I106" s="742"/>
      <c r="J106" s="742"/>
      <c r="K106" s="742"/>
      <c r="L106" s="742"/>
      <c r="M106" s="742"/>
      <c r="N106" s="742"/>
      <c r="O106" s="742"/>
      <c r="P106" s="742"/>
      <c r="Q106" s="742"/>
      <c r="R106" s="742"/>
      <c r="S106" s="742"/>
      <c r="T106" s="742"/>
      <c r="U106" s="742"/>
      <c r="V106" s="742"/>
      <c r="W106" s="742"/>
      <c r="X106" s="742"/>
      <c r="Y106" s="742"/>
      <c r="Z106" s="742"/>
      <c r="AA106" s="742"/>
      <c r="AB106" s="742"/>
      <c r="AC106" s="742"/>
      <c r="AD106" s="742"/>
      <c r="AE106" s="742"/>
      <c r="AF106" s="743"/>
      <c r="AG106" s="744" t="s">
        <v>1219</v>
      </c>
      <c r="AH106" s="745"/>
      <c r="AI106" s="746"/>
    </row>
    <row r="107" spans="1:35" ht="11.85" customHeight="1">
      <c r="A107" s="741" t="s">
        <v>2509</v>
      </c>
      <c r="B107" s="742"/>
      <c r="C107" s="742"/>
      <c r="D107" s="742"/>
      <c r="E107" s="742"/>
      <c r="F107" s="742"/>
      <c r="G107" s="742"/>
      <c r="H107" s="742"/>
      <c r="I107" s="742"/>
      <c r="J107" s="742"/>
      <c r="K107" s="742"/>
      <c r="L107" s="742"/>
      <c r="M107" s="742"/>
      <c r="N107" s="742"/>
      <c r="O107" s="742"/>
      <c r="P107" s="742"/>
      <c r="Q107" s="742"/>
      <c r="R107" s="742"/>
      <c r="S107" s="742"/>
      <c r="T107" s="742"/>
      <c r="U107" s="742"/>
      <c r="V107" s="742"/>
      <c r="W107" s="742"/>
      <c r="X107" s="742"/>
      <c r="Y107" s="742"/>
      <c r="Z107" s="742"/>
      <c r="AA107" s="742"/>
      <c r="AB107" s="742"/>
      <c r="AC107" s="742"/>
      <c r="AD107" s="742"/>
      <c r="AE107" s="742"/>
      <c r="AF107" s="743"/>
      <c r="AG107" s="744" t="s">
        <v>1219</v>
      </c>
      <c r="AH107" s="745"/>
      <c r="AI107" s="746"/>
    </row>
    <row r="108" spans="1:35" ht="11.85" customHeight="1">
      <c r="A108" s="741" t="s">
        <v>2510</v>
      </c>
      <c r="B108" s="742"/>
      <c r="C108" s="742"/>
      <c r="D108" s="742"/>
      <c r="E108" s="742"/>
      <c r="F108" s="742"/>
      <c r="G108" s="742"/>
      <c r="H108" s="742"/>
      <c r="I108" s="742"/>
      <c r="J108" s="742"/>
      <c r="K108" s="742"/>
      <c r="L108" s="742"/>
      <c r="M108" s="742"/>
      <c r="N108" s="742"/>
      <c r="O108" s="742"/>
      <c r="P108" s="742"/>
      <c r="Q108" s="742"/>
      <c r="R108" s="742"/>
      <c r="S108" s="742"/>
      <c r="T108" s="742"/>
      <c r="U108" s="742"/>
      <c r="V108" s="742"/>
      <c r="W108" s="742"/>
      <c r="X108" s="742"/>
      <c r="Y108" s="742"/>
      <c r="Z108" s="742"/>
      <c r="AA108" s="742"/>
      <c r="AB108" s="742"/>
      <c r="AC108" s="742"/>
      <c r="AD108" s="742"/>
      <c r="AE108" s="742"/>
      <c r="AF108" s="743"/>
      <c r="AG108" s="744" t="s">
        <v>1219</v>
      </c>
      <c r="AH108" s="745"/>
      <c r="AI108" s="746"/>
    </row>
    <row r="109" spans="1:35" ht="11.85" customHeight="1">
      <c r="A109" s="661"/>
      <c r="B109" s="661"/>
      <c r="C109" s="661"/>
      <c r="D109" s="661"/>
      <c r="E109" s="661"/>
      <c r="F109" s="661"/>
      <c r="G109" s="661"/>
      <c r="H109" s="661"/>
      <c r="I109" s="661"/>
      <c r="J109" s="661"/>
      <c r="K109" s="661"/>
      <c r="L109" s="661"/>
      <c r="M109" s="661"/>
      <c r="N109" s="661"/>
      <c r="O109" s="661"/>
      <c r="P109" s="661"/>
      <c r="Q109" s="661"/>
      <c r="R109" s="661"/>
      <c r="S109" s="661"/>
      <c r="T109" s="661"/>
      <c r="U109" s="661"/>
      <c r="V109" s="661"/>
      <c r="W109" s="661"/>
      <c r="X109" s="661"/>
      <c r="Y109" s="661"/>
      <c r="Z109" s="661"/>
      <c r="AA109" s="661"/>
      <c r="AB109" s="661"/>
      <c r="AC109" s="661"/>
      <c r="AD109" s="661"/>
      <c r="AE109" s="661"/>
      <c r="AF109" s="661"/>
      <c r="AG109" s="661"/>
      <c r="AH109" s="661"/>
      <c r="AI109" s="661"/>
    </row>
    <row r="110" spans="1:35" ht="11.1" customHeight="1">
      <c r="A110" s="722" t="s">
        <v>2511</v>
      </c>
      <c r="B110" s="723"/>
      <c r="C110" s="723"/>
      <c r="D110" s="723"/>
      <c r="E110" s="723"/>
      <c r="F110" s="723"/>
      <c r="G110" s="723"/>
      <c r="H110" s="723"/>
      <c r="I110" s="723"/>
      <c r="J110" s="724"/>
      <c r="K110" s="597" t="s">
        <v>2512</v>
      </c>
      <c r="L110" s="602"/>
      <c r="M110" s="602"/>
      <c r="N110" s="602"/>
      <c r="O110" s="602"/>
      <c r="P110" s="602"/>
      <c r="Q110" s="602"/>
      <c r="R110" s="602"/>
      <c r="S110" s="602"/>
      <c r="T110" s="602"/>
      <c r="U110" s="602"/>
      <c r="V110" s="602"/>
      <c r="W110" s="602"/>
      <c r="X110" s="602"/>
      <c r="Y110" s="602"/>
      <c r="Z110" s="602"/>
      <c r="AA110" s="602"/>
      <c r="AB110" s="602"/>
      <c r="AC110" s="602"/>
      <c r="AD110" s="602"/>
      <c r="AE110" s="602"/>
      <c r="AF110" s="602"/>
      <c r="AG110" s="602"/>
      <c r="AH110" s="602"/>
      <c r="AI110" s="603"/>
    </row>
    <row r="111" spans="1:35" ht="17.850000000000001" customHeight="1">
      <c r="A111" s="738"/>
      <c r="B111" s="739"/>
      <c r="C111" s="739"/>
      <c r="D111" s="739"/>
      <c r="E111" s="739"/>
      <c r="F111" s="739"/>
      <c r="G111" s="739"/>
      <c r="H111" s="739"/>
      <c r="I111" s="739"/>
      <c r="J111" s="740"/>
      <c r="K111" s="597" t="s">
        <v>2513</v>
      </c>
      <c r="L111" s="728"/>
      <c r="M111" s="728"/>
      <c r="N111" s="728"/>
      <c r="O111" s="728"/>
      <c r="P111" s="728"/>
      <c r="Q111" s="728"/>
      <c r="R111" s="599"/>
      <c r="S111" s="597" t="s">
        <v>2478</v>
      </c>
      <c r="T111" s="602"/>
      <c r="U111" s="602"/>
      <c r="V111" s="602"/>
      <c r="W111" s="602"/>
      <c r="X111" s="602"/>
      <c r="Y111" s="602"/>
      <c r="Z111" s="602"/>
      <c r="AA111" s="602"/>
      <c r="AB111" s="602"/>
      <c r="AC111" s="602"/>
      <c r="AD111" s="603"/>
      <c r="AE111" s="597" t="s">
        <v>2514</v>
      </c>
      <c r="AF111" s="728"/>
      <c r="AG111" s="728"/>
      <c r="AH111" s="728"/>
      <c r="AI111" s="599"/>
    </row>
    <row r="112" spans="1:35" ht="22.9" customHeight="1">
      <c r="A112" s="725"/>
      <c r="B112" s="726"/>
      <c r="C112" s="726"/>
      <c r="D112" s="726"/>
      <c r="E112" s="726"/>
      <c r="F112" s="726"/>
      <c r="G112" s="726"/>
      <c r="H112" s="726"/>
      <c r="I112" s="726"/>
      <c r="J112" s="727"/>
      <c r="K112" s="600"/>
      <c r="L112" s="729"/>
      <c r="M112" s="729"/>
      <c r="N112" s="729"/>
      <c r="O112" s="729"/>
      <c r="P112" s="729"/>
      <c r="Q112" s="729"/>
      <c r="R112" s="601"/>
      <c r="S112" s="597" t="s">
        <v>2515</v>
      </c>
      <c r="T112" s="602"/>
      <c r="U112" s="602"/>
      <c r="V112" s="603"/>
      <c r="W112" s="597" t="s">
        <v>2516</v>
      </c>
      <c r="X112" s="602"/>
      <c r="Y112" s="602"/>
      <c r="Z112" s="603"/>
      <c r="AA112" s="597" t="s">
        <v>2517</v>
      </c>
      <c r="AB112" s="602"/>
      <c r="AC112" s="602"/>
      <c r="AD112" s="603"/>
      <c r="AE112" s="600"/>
      <c r="AF112" s="729"/>
      <c r="AG112" s="729"/>
      <c r="AH112" s="729"/>
      <c r="AI112" s="601"/>
    </row>
    <row r="113" spans="1:35" ht="11.85" customHeight="1">
      <c r="A113" s="683" t="s">
        <v>2518</v>
      </c>
      <c r="B113" s="652"/>
      <c r="C113" s="652"/>
      <c r="D113" s="652"/>
      <c r="E113" s="652"/>
      <c r="F113" s="652"/>
      <c r="G113" s="652"/>
      <c r="H113" s="652"/>
      <c r="I113" s="652"/>
      <c r="J113" s="684"/>
      <c r="K113" s="606" t="s">
        <v>1219</v>
      </c>
      <c r="L113" s="607"/>
      <c r="M113" s="607"/>
      <c r="N113" s="607"/>
      <c r="O113" s="607"/>
      <c r="P113" s="607"/>
      <c r="Q113" s="607"/>
      <c r="R113" s="608"/>
      <c r="S113" s="606" t="s">
        <v>1219</v>
      </c>
      <c r="T113" s="607"/>
      <c r="U113" s="607"/>
      <c r="V113" s="608"/>
      <c r="W113" s="606" t="s">
        <v>1219</v>
      </c>
      <c r="X113" s="607"/>
      <c r="Y113" s="607"/>
      <c r="Z113" s="608"/>
      <c r="AA113" s="606" t="s">
        <v>1219</v>
      </c>
      <c r="AB113" s="607"/>
      <c r="AC113" s="607"/>
      <c r="AD113" s="608"/>
      <c r="AE113" s="606" t="s">
        <v>1219</v>
      </c>
      <c r="AF113" s="607"/>
      <c r="AG113" s="607"/>
      <c r="AH113" s="607"/>
      <c r="AI113" s="608"/>
    </row>
    <row r="114" spans="1:35" ht="11.85" customHeight="1">
      <c r="A114" s="674" t="s">
        <v>2519</v>
      </c>
      <c r="B114" s="675"/>
      <c r="C114" s="675"/>
      <c r="D114" s="675"/>
      <c r="E114" s="675"/>
      <c r="F114" s="675"/>
      <c r="G114" s="675"/>
      <c r="H114" s="675"/>
      <c r="I114" s="675"/>
      <c r="J114" s="676"/>
      <c r="K114" s="589" t="s">
        <v>2520</v>
      </c>
      <c r="L114" s="590"/>
      <c r="M114" s="590"/>
      <c r="N114" s="590"/>
      <c r="O114" s="590"/>
      <c r="P114" s="590"/>
      <c r="Q114" s="590"/>
      <c r="R114" s="591"/>
      <c r="S114" s="589" t="s">
        <v>1219</v>
      </c>
      <c r="T114" s="590"/>
      <c r="U114" s="590"/>
      <c r="V114" s="591"/>
      <c r="W114" s="589" t="s">
        <v>1219</v>
      </c>
      <c r="X114" s="590"/>
      <c r="Y114" s="590"/>
      <c r="Z114" s="591"/>
      <c r="AA114" s="589" t="s">
        <v>1219</v>
      </c>
      <c r="AB114" s="590"/>
      <c r="AC114" s="590"/>
      <c r="AD114" s="591"/>
      <c r="AE114" s="589" t="s">
        <v>2520</v>
      </c>
      <c r="AF114" s="590"/>
      <c r="AG114" s="590"/>
      <c r="AH114" s="590"/>
      <c r="AI114" s="591"/>
    </row>
    <row r="115" spans="1:35" ht="11.85" customHeight="1">
      <c r="A115" s="677" t="s">
        <v>2521</v>
      </c>
      <c r="B115" s="678"/>
      <c r="C115" s="678"/>
      <c r="D115" s="678"/>
      <c r="E115" s="678"/>
      <c r="F115" s="678"/>
      <c r="G115" s="678"/>
      <c r="H115" s="678"/>
      <c r="I115" s="678"/>
      <c r="J115" s="679"/>
      <c r="K115" s="594" t="s">
        <v>2522</v>
      </c>
      <c r="L115" s="595"/>
      <c r="M115" s="595"/>
      <c r="N115" s="595"/>
      <c r="O115" s="595"/>
      <c r="P115" s="595"/>
      <c r="Q115" s="595"/>
      <c r="R115" s="596"/>
      <c r="S115" s="594" t="s">
        <v>1219</v>
      </c>
      <c r="T115" s="595"/>
      <c r="U115" s="595"/>
      <c r="V115" s="596"/>
      <c r="W115" s="594" t="s">
        <v>1219</v>
      </c>
      <c r="X115" s="595"/>
      <c r="Y115" s="595"/>
      <c r="Z115" s="596"/>
      <c r="AA115" s="594" t="s">
        <v>1219</v>
      </c>
      <c r="AB115" s="595"/>
      <c r="AC115" s="595"/>
      <c r="AD115" s="596"/>
      <c r="AE115" s="594" t="s">
        <v>2522</v>
      </c>
      <c r="AF115" s="595"/>
      <c r="AG115" s="595"/>
      <c r="AH115" s="595"/>
      <c r="AI115" s="596"/>
    </row>
    <row r="116" spans="1:35" ht="11.1" customHeight="1">
      <c r="A116" s="730" t="s">
        <v>2523</v>
      </c>
      <c r="B116" s="731"/>
      <c r="C116" s="731"/>
      <c r="D116" s="731"/>
      <c r="E116" s="731"/>
      <c r="F116" s="731"/>
      <c r="G116" s="731"/>
      <c r="H116" s="731"/>
      <c r="I116" s="731"/>
      <c r="J116" s="732"/>
      <c r="K116" s="698" t="s">
        <v>2524</v>
      </c>
      <c r="L116" s="700"/>
      <c r="M116" s="700"/>
      <c r="N116" s="700"/>
      <c r="O116" s="700"/>
      <c r="P116" s="700"/>
      <c r="Q116" s="700"/>
      <c r="R116" s="699"/>
      <c r="S116" s="698" t="s">
        <v>1219</v>
      </c>
      <c r="T116" s="700"/>
      <c r="U116" s="700"/>
      <c r="V116" s="699"/>
      <c r="W116" s="698" t="s">
        <v>1219</v>
      </c>
      <c r="X116" s="700"/>
      <c r="Y116" s="700"/>
      <c r="Z116" s="699"/>
      <c r="AA116" s="698" t="s">
        <v>1219</v>
      </c>
      <c r="AB116" s="700"/>
      <c r="AC116" s="700"/>
      <c r="AD116" s="699"/>
      <c r="AE116" s="698" t="s">
        <v>2524</v>
      </c>
      <c r="AF116" s="700"/>
      <c r="AG116" s="700"/>
      <c r="AH116" s="700"/>
      <c r="AI116" s="699"/>
    </row>
    <row r="117" spans="1:35" ht="11.85" customHeight="1">
      <c r="A117" s="661"/>
      <c r="B117" s="661"/>
      <c r="C117" s="661"/>
      <c r="D117" s="661"/>
      <c r="E117" s="661"/>
      <c r="F117" s="661"/>
      <c r="G117" s="661"/>
      <c r="H117" s="661"/>
      <c r="I117" s="661"/>
      <c r="J117" s="661"/>
      <c r="K117" s="661"/>
      <c r="L117" s="661"/>
      <c r="M117" s="661"/>
      <c r="N117" s="661"/>
      <c r="O117" s="661"/>
      <c r="P117" s="661"/>
      <c r="Q117" s="661"/>
      <c r="R117" s="661"/>
      <c r="S117" s="661"/>
      <c r="T117" s="661"/>
      <c r="U117" s="661"/>
      <c r="V117" s="661"/>
      <c r="W117" s="661"/>
      <c r="X117" s="661"/>
      <c r="Y117" s="661"/>
      <c r="Z117" s="661"/>
      <c r="AA117" s="661"/>
      <c r="AB117" s="661"/>
      <c r="AC117" s="661"/>
      <c r="AD117" s="661"/>
      <c r="AE117" s="661"/>
      <c r="AF117" s="661"/>
      <c r="AG117" s="661"/>
      <c r="AH117" s="661"/>
      <c r="AI117" s="661"/>
    </row>
    <row r="118" spans="1:35" ht="11.85" customHeight="1">
      <c r="A118" s="609" t="s">
        <v>2525</v>
      </c>
      <c r="B118" s="733"/>
      <c r="C118" s="733"/>
      <c r="D118" s="733"/>
      <c r="E118" s="733"/>
      <c r="F118" s="733"/>
      <c r="G118" s="733"/>
      <c r="H118" s="733"/>
      <c r="I118" s="734"/>
      <c r="J118" s="597" t="s">
        <v>1337</v>
      </c>
      <c r="K118" s="728"/>
      <c r="L118" s="728"/>
      <c r="M118" s="728"/>
      <c r="N118" s="728"/>
      <c r="O118" s="728"/>
      <c r="P118" s="599"/>
      <c r="Q118" s="597" t="s">
        <v>1338</v>
      </c>
      <c r="R118" s="728"/>
      <c r="S118" s="728"/>
      <c r="T118" s="728"/>
      <c r="U118" s="728"/>
      <c r="V118" s="728"/>
      <c r="W118" s="728"/>
      <c r="X118" s="599"/>
      <c r="Y118" s="611" t="s">
        <v>1339</v>
      </c>
      <c r="Z118" s="612"/>
      <c r="AA118" s="612"/>
      <c r="AB118" s="612"/>
      <c r="AC118" s="612"/>
      <c r="AD118" s="612"/>
      <c r="AE118" s="612"/>
      <c r="AF118" s="612"/>
      <c r="AG118" s="612"/>
      <c r="AH118" s="612"/>
      <c r="AI118" s="613"/>
    </row>
    <row r="119" spans="1:35" ht="17.850000000000001" customHeight="1">
      <c r="A119" s="735"/>
      <c r="B119" s="736"/>
      <c r="C119" s="736"/>
      <c r="D119" s="736"/>
      <c r="E119" s="736"/>
      <c r="F119" s="736"/>
      <c r="G119" s="736"/>
      <c r="H119" s="736"/>
      <c r="I119" s="737"/>
      <c r="J119" s="600"/>
      <c r="K119" s="729"/>
      <c r="L119" s="729"/>
      <c r="M119" s="729"/>
      <c r="N119" s="729"/>
      <c r="O119" s="729"/>
      <c r="P119" s="601"/>
      <c r="Q119" s="600"/>
      <c r="R119" s="729"/>
      <c r="S119" s="729"/>
      <c r="T119" s="729"/>
      <c r="U119" s="729"/>
      <c r="V119" s="729"/>
      <c r="W119" s="729"/>
      <c r="X119" s="601"/>
      <c r="Y119" s="597" t="s">
        <v>2339</v>
      </c>
      <c r="Z119" s="602"/>
      <c r="AA119" s="602"/>
      <c r="AB119" s="602"/>
      <c r="AC119" s="602"/>
      <c r="AD119" s="602"/>
      <c r="AE119" s="603"/>
      <c r="AF119" s="597" t="s">
        <v>2340</v>
      </c>
      <c r="AG119" s="602"/>
      <c r="AH119" s="602"/>
      <c r="AI119" s="603"/>
    </row>
    <row r="120" spans="1:35" ht="11.1" customHeight="1">
      <c r="A120" s="683" t="s">
        <v>2526</v>
      </c>
      <c r="B120" s="652"/>
      <c r="C120" s="652"/>
      <c r="D120" s="652"/>
      <c r="E120" s="652"/>
      <c r="F120" s="652"/>
      <c r="G120" s="652"/>
      <c r="H120" s="652"/>
      <c r="I120" s="684"/>
      <c r="J120" s="606" t="s">
        <v>2527</v>
      </c>
      <c r="K120" s="607"/>
      <c r="L120" s="607"/>
      <c r="M120" s="607"/>
      <c r="N120" s="607"/>
      <c r="O120" s="607"/>
      <c r="P120" s="608"/>
      <c r="Q120" s="606" t="s">
        <v>2527</v>
      </c>
      <c r="R120" s="607"/>
      <c r="S120" s="607"/>
      <c r="T120" s="607"/>
      <c r="U120" s="607"/>
      <c r="V120" s="607"/>
      <c r="W120" s="607"/>
      <c r="X120" s="608"/>
      <c r="Y120" s="606" t="s">
        <v>2528</v>
      </c>
      <c r="Z120" s="607"/>
      <c r="AA120" s="607"/>
      <c r="AB120" s="607"/>
      <c r="AC120" s="607"/>
      <c r="AD120" s="607"/>
      <c r="AE120" s="608"/>
      <c r="AF120" s="606" t="s">
        <v>2529</v>
      </c>
      <c r="AG120" s="607"/>
      <c r="AH120" s="607"/>
      <c r="AI120" s="608"/>
    </row>
    <row r="121" spans="1:35" ht="11.85" customHeight="1">
      <c r="A121" s="674" t="s">
        <v>2530</v>
      </c>
      <c r="B121" s="675"/>
      <c r="C121" s="675"/>
      <c r="D121" s="675"/>
      <c r="E121" s="675"/>
      <c r="F121" s="675"/>
      <c r="G121" s="675"/>
      <c r="H121" s="675"/>
      <c r="I121" s="676"/>
      <c r="J121" s="589" t="s">
        <v>2531</v>
      </c>
      <c r="K121" s="590"/>
      <c r="L121" s="590"/>
      <c r="M121" s="590"/>
      <c r="N121" s="590"/>
      <c r="O121" s="590"/>
      <c r="P121" s="591"/>
      <c r="Q121" s="589" t="s">
        <v>2531</v>
      </c>
      <c r="R121" s="590"/>
      <c r="S121" s="590"/>
      <c r="T121" s="590"/>
      <c r="U121" s="590"/>
      <c r="V121" s="590"/>
      <c r="W121" s="590"/>
      <c r="X121" s="591"/>
      <c r="Y121" s="589" t="s">
        <v>2532</v>
      </c>
      <c r="Z121" s="590"/>
      <c r="AA121" s="590"/>
      <c r="AB121" s="590"/>
      <c r="AC121" s="590"/>
      <c r="AD121" s="590"/>
      <c r="AE121" s="591"/>
      <c r="AF121" s="589" t="s">
        <v>2533</v>
      </c>
      <c r="AG121" s="590"/>
      <c r="AH121" s="590"/>
      <c r="AI121" s="591"/>
    </row>
    <row r="122" spans="1:35" ht="11.85" customHeight="1">
      <c r="A122" s="674" t="s">
        <v>2534</v>
      </c>
      <c r="B122" s="675"/>
      <c r="C122" s="675"/>
      <c r="D122" s="675"/>
      <c r="E122" s="675"/>
      <c r="F122" s="675"/>
      <c r="G122" s="675"/>
      <c r="H122" s="675"/>
      <c r="I122" s="676"/>
      <c r="J122" s="589" t="s">
        <v>2535</v>
      </c>
      <c r="K122" s="590"/>
      <c r="L122" s="590"/>
      <c r="M122" s="590"/>
      <c r="N122" s="590"/>
      <c r="O122" s="590"/>
      <c r="P122" s="591"/>
      <c r="Q122" s="589" t="s">
        <v>2535</v>
      </c>
      <c r="R122" s="590"/>
      <c r="S122" s="590"/>
      <c r="T122" s="590"/>
      <c r="U122" s="590"/>
      <c r="V122" s="590"/>
      <c r="W122" s="590"/>
      <c r="X122" s="591"/>
      <c r="Y122" s="589" t="s">
        <v>2536</v>
      </c>
      <c r="Z122" s="590"/>
      <c r="AA122" s="590"/>
      <c r="AB122" s="590"/>
      <c r="AC122" s="590"/>
      <c r="AD122" s="590"/>
      <c r="AE122" s="591"/>
      <c r="AF122" s="589" t="s">
        <v>2537</v>
      </c>
      <c r="AG122" s="590"/>
      <c r="AH122" s="590"/>
      <c r="AI122" s="591"/>
    </row>
    <row r="123" spans="1:35" ht="11.85" customHeight="1">
      <c r="A123" s="674" t="s">
        <v>2538</v>
      </c>
      <c r="B123" s="675"/>
      <c r="C123" s="675"/>
      <c r="D123" s="675"/>
      <c r="E123" s="675"/>
      <c r="F123" s="675"/>
      <c r="G123" s="675"/>
      <c r="H123" s="675"/>
      <c r="I123" s="676"/>
      <c r="J123" s="589" t="s">
        <v>1219</v>
      </c>
      <c r="K123" s="590"/>
      <c r="L123" s="590"/>
      <c r="M123" s="590"/>
      <c r="N123" s="590"/>
      <c r="O123" s="590"/>
      <c r="P123" s="591"/>
      <c r="Q123" s="589" t="s">
        <v>1219</v>
      </c>
      <c r="R123" s="590"/>
      <c r="S123" s="590"/>
      <c r="T123" s="590"/>
      <c r="U123" s="590"/>
      <c r="V123" s="590"/>
      <c r="W123" s="590"/>
      <c r="X123" s="591"/>
      <c r="Y123" s="589" t="s">
        <v>1219</v>
      </c>
      <c r="Z123" s="590"/>
      <c r="AA123" s="590"/>
      <c r="AB123" s="590"/>
      <c r="AC123" s="590"/>
      <c r="AD123" s="590"/>
      <c r="AE123" s="591"/>
      <c r="AF123" s="589" t="s">
        <v>1219</v>
      </c>
      <c r="AG123" s="590"/>
      <c r="AH123" s="590"/>
      <c r="AI123" s="591"/>
    </row>
    <row r="124" spans="1:35" ht="11.1" customHeight="1">
      <c r="A124" s="674" t="s">
        <v>2539</v>
      </c>
      <c r="B124" s="675"/>
      <c r="C124" s="675"/>
      <c r="D124" s="675"/>
      <c r="E124" s="675"/>
      <c r="F124" s="675"/>
      <c r="G124" s="675"/>
      <c r="H124" s="675"/>
      <c r="I124" s="676"/>
      <c r="J124" s="589" t="s">
        <v>1219</v>
      </c>
      <c r="K124" s="590"/>
      <c r="L124" s="590"/>
      <c r="M124" s="590"/>
      <c r="N124" s="590"/>
      <c r="O124" s="590"/>
      <c r="P124" s="591"/>
      <c r="Q124" s="589" t="s">
        <v>1219</v>
      </c>
      <c r="R124" s="590"/>
      <c r="S124" s="590"/>
      <c r="T124" s="590"/>
      <c r="U124" s="590"/>
      <c r="V124" s="590"/>
      <c r="W124" s="590"/>
      <c r="X124" s="591"/>
      <c r="Y124" s="589" t="s">
        <v>1219</v>
      </c>
      <c r="Z124" s="590"/>
      <c r="AA124" s="590"/>
      <c r="AB124" s="590"/>
      <c r="AC124" s="590"/>
      <c r="AD124" s="590"/>
      <c r="AE124" s="591"/>
      <c r="AF124" s="589" t="s">
        <v>1219</v>
      </c>
      <c r="AG124" s="590"/>
      <c r="AH124" s="590"/>
      <c r="AI124" s="591"/>
    </row>
    <row r="125" spans="1:35" ht="11.85" customHeight="1">
      <c r="A125" s="677" t="s">
        <v>2540</v>
      </c>
      <c r="B125" s="678"/>
      <c r="C125" s="678"/>
      <c r="D125" s="678"/>
      <c r="E125" s="678"/>
      <c r="F125" s="678"/>
      <c r="G125" s="678"/>
      <c r="H125" s="678"/>
      <c r="I125" s="679"/>
      <c r="J125" s="594" t="s">
        <v>1219</v>
      </c>
      <c r="K125" s="595"/>
      <c r="L125" s="595"/>
      <c r="M125" s="595"/>
      <c r="N125" s="595"/>
      <c r="O125" s="595"/>
      <c r="P125" s="596"/>
      <c r="Q125" s="594" t="s">
        <v>1219</v>
      </c>
      <c r="R125" s="595"/>
      <c r="S125" s="595"/>
      <c r="T125" s="595"/>
      <c r="U125" s="595"/>
      <c r="V125" s="595"/>
      <c r="W125" s="595"/>
      <c r="X125" s="596"/>
      <c r="Y125" s="594" t="s">
        <v>1219</v>
      </c>
      <c r="Z125" s="595"/>
      <c r="AA125" s="595"/>
      <c r="AB125" s="595"/>
      <c r="AC125" s="595"/>
      <c r="AD125" s="595"/>
      <c r="AE125" s="596"/>
      <c r="AF125" s="594" t="s">
        <v>1219</v>
      </c>
      <c r="AG125" s="595"/>
      <c r="AH125" s="595"/>
      <c r="AI125" s="596"/>
    </row>
    <row r="126" spans="1:35" ht="11.85" customHeight="1">
      <c r="A126" s="730" t="s">
        <v>2541</v>
      </c>
      <c r="B126" s="731"/>
      <c r="C126" s="731"/>
      <c r="D126" s="731"/>
      <c r="E126" s="731"/>
      <c r="F126" s="731"/>
      <c r="G126" s="731"/>
      <c r="H126" s="731"/>
      <c r="I126" s="732"/>
      <c r="J126" s="698" t="s">
        <v>2527</v>
      </c>
      <c r="K126" s="700"/>
      <c r="L126" s="700"/>
      <c r="M126" s="700"/>
      <c r="N126" s="700"/>
      <c r="O126" s="700"/>
      <c r="P126" s="699"/>
      <c r="Q126" s="698" t="s">
        <v>2527</v>
      </c>
      <c r="R126" s="700"/>
      <c r="S126" s="700"/>
      <c r="T126" s="700"/>
      <c r="U126" s="700"/>
      <c r="V126" s="700"/>
      <c r="W126" s="700"/>
      <c r="X126" s="699"/>
      <c r="Y126" s="698" t="s">
        <v>2528</v>
      </c>
      <c r="Z126" s="700"/>
      <c r="AA126" s="700"/>
      <c r="AB126" s="700"/>
      <c r="AC126" s="700"/>
      <c r="AD126" s="700"/>
      <c r="AE126" s="699"/>
      <c r="AF126" s="698" t="s">
        <v>2529</v>
      </c>
      <c r="AG126" s="700"/>
      <c r="AH126" s="700"/>
      <c r="AI126" s="699"/>
    </row>
    <row r="127" spans="1:35" ht="11.85" customHeight="1">
      <c r="A127" s="618"/>
      <c r="B127" s="618"/>
      <c r="C127" s="618"/>
      <c r="D127" s="618"/>
      <c r="E127" s="618"/>
      <c r="F127" s="618"/>
      <c r="G127" s="618"/>
      <c r="H127" s="618"/>
      <c r="I127" s="618"/>
      <c r="J127" s="618"/>
      <c r="K127" s="618"/>
      <c r="L127" s="618"/>
      <c r="M127" s="618"/>
      <c r="N127" s="618"/>
      <c r="O127" s="618"/>
      <c r="P127" s="618"/>
      <c r="Q127" s="618"/>
      <c r="R127" s="618"/>
      <c r="S127" s="618"/>
      <c r="T127" s="618"/>
      <c r="U127" s="618"/>
      <c r="V127" s="618"/>
      <c r="W127" s="618"/>
      <c r="X127" s="618"/>
      <c r="Y127" s="618"/>
      <c r="Z127" s="618"/>
      <c r="AA127" s="618"/>
      <c r="AB127" s="618"/>
      <c r="AC127" s="618"/>
      <c r="AD127" s="618"/>
      <c r="AE127" s="618"/>
      <c r="AF127" s="618"/>
      <c r="AG127" s="618"/>
      <c r="AH127" s="618"/>
      <c r="AI127" s="618"/>
    </row>
    <row r="128" spans="1:35" ht="22.9" customHeight="1"/>
    <row r="129" spans="1:35" ht="11.85" customHeight="1">
      <c r="A129" s="615" t="s">
        <v>1332</v>
      </c>
      <c r="B129" s="615"/>
      <c r="C129" s="615"/>
      <c r="D129" s="615"/>
      <c r="E129" s="615"/>
      <c r="F129" s="615"/>
      <c r="G129" s="615"/>
      <c r="AH129" s="448" t="s">
        <v>1921</v>
      </c>
    </row>
    <row r="130" spans="1:35" ht="11.1" customHeight="1">
      <c r="A130" s="615" t="s">
        <v>1206</v>
      </c>
      <c r="B130" s="615"/>
      <c r="C130" s="615"/>
      <c r="D130" s="615"/>
      <c r="E130" s="615"/>
      <c r="F130" s="615"/>
      <c r="G130" s="615"/>
    </row>
    <row r="131" spans="1:35" ht="11.85" customHeight="1">
      <c r="A131" s="619" t="s">
        <v>2336</v>
      </c>
      <c r="B131" s="619"/>
      <c r="C131" s="619"/>
      <c r="D131" s="619"/>
      <c r="E131" s="619"/>
      <c r="F131" s="619"/>
      <c r="G131" s="619"/>
    </row>
    <row r="132" spans="1:35" ht="11.85" customHeight="1">
      <c r="A132" s="615" t="s">
        <v>1335</v>
      </c>
      <c r="B132" s="615"/>
      <c r="C132" s="615"/>
      <c r="D132" s="615"/>
      <c r="E132" s="615"/>
      <c r="F132" s="615"/>
      <c r="G132" s="615"/>
    </row>
    <row r="133" spans="1:35" ht="11.85" customHeight="1">
      <c r="A133" s="615" t="s">
        <v>1209</v>
      </c>
      <c r="B133" s="615"/>
      <c r="C133" s="615"/>
      <c r="D133" s="615"/>
      <c r="E133" s="615"/>
      <c r="F133" s="615"/>
      <c r="G133" s="615"/>
    </row>
    <row r="134" spans="1:35" ht="5.85" customHeight="1"/>
    <row r="135" spans="1:35" ht="11.1" customHeight="1">
      <c r="A135" s="616" t="s">
        <v>2337</v>
      </c>
      <c r="B135" s="616"/>
      <c r="C135" s="616"/>
      <c r="D135" s="616"/>
      <c r="E135" s="616"/>
      <c r="F135" s="616"/>
      <c r="G135" s="616"/>
      <c r="H135" s="449"/>
      <c r="I135" s="449"/>
      <c r="J135" s="449"/>
      <c r="K135" s="449"/>
      <c r="L135" s="449"/>
      <c r="M135" s="449"/>
      <c r="N135" s="449"/>
      <c r="O135" s="449"/>
      <c r="P135" s="449"/>
      <c r="Q135" s="449"/>
      <c r="R135" s="449"/>
      <c r="S135" s="449"/>
      <c r="T135" s="449"/>
      <c r="U135" s="449"/>
      <c r="V135" s="449"/>
      <c r="W135" s="449"/>
      <c r="X135" s="449"/>
      <c r="Y135" s="449"/>
      <c r="Z135" s="449"/>
      <c r="AA135" s="449"/>
      <c r="AB135" s="449"/>
      <c r="AC135" s="449"/>
      <c r="AD135" s="449"/>
      <c r="AE135" s="449"/>
      <c r="AF135" s="449"/>
      <c r="AG135" s="449"/>
      <c r="AH135" s="449"/>
      <c r="AI135" s="449"/>
    </row>
    <row r="136" spans="1:35" ht="17.850000000000001" customHeight="1">
      <c r="A136" s="611" t="s">
        <v>2542</v>
      </c>
      <c r="B136" s="612"/>
      <c r="C136" s="612"/>
      <c r="D136" s="612"/>
      <c r="E136" s="612"/>
      <c r="F136" s="612"/>
      <c r="G136" s="612"/>
      <c r="H136" s="612"/>
      <c r="I136" s="612"/>
      <c r="J136" s="612"/>
      <c r="K136" s="612"/>
      <c r="L136" s="612"/>
      <c r="M136" s="612"/>
      <c r="N136" s="612"/>
      <c r="O136" s="612"/>
      <c r="P136" s="612"/>
      <c r="Q136" s="612"/>
      <c r="R136" s="612"/>
      <c r="S136" s="612"/>
      <c r="T136" s="612"/>
      <c r="U136" s="612"/>
      <c r="V136" s="612"/>
      <c r="W136" s="612"/>
      <c r="X136" s="612"/>
      <c r="Y136" s="612"/>
      <c r="Z136" s="612"/>
      <c r="AA136" s="612"/>
      <c r="AB136" s="612"/>
      <c r="AC136" s="612"/>
      <c r="AD136" s="612"/>
      <c r="AE136" s="612"/>
      <c r="AF136" s="612"/>
      <c r="AG136" s="612"/>
      <c r="AH136" s="612"/>
      <c r="AI136" s="613"/>
    </row>
    <row r="137" spans="1:35" ht="11.85" customHeight="1">
      <c r="A137" s="722" t="s">
        <v>2543</v>
      </c>
      <c r="B137" s="723"/>
      <c r="C137" s="723"/>
      <c r="D137" s="723"/>
      <c r="E137" s="724"/>
      <c r="F137" s="597" t="s">
        <v>2379</v>
      </c>
      <c r="G137" s="599"/>
      <c r="H137" s="597" t="s">
        <v>1869</v>
      </c>
      <c r="I137" s="728"/>
      <c r="J137" s="728"/>
      <c r="K137" s="728"/>
      <c r="L137" s="599"/>
      <c r="M137" s="611" t="s">
        <v>1576</v>
      </c>
      <c r="N137" s="612"/>
      <c r="O137" s="612"/>
      <c r="P137" s="612"/>
      <c r="Q137" s="612"/>
      <c r="R137" s="612"/>
      <c r="S137" s="613"/>
      <c r="T137" s="611" t="s">
        <v>1578</v>
      </c>
      <c r="U137" s="612"/>
      <c r="V137" s="612"/>
      <c r="W137" s="612"/>
      <c r="X137" s="612"/>
      <c r="Y137" s="612"/>
      <c r="Z137" s="612"/>
      <c r="AA137" s="612"/>
      <c r="AB137" s="612"/>
      <c r="AC137" s="613"/>
      <c r="AD137" s="611" t="s">
        <v>2380</v>
      </c>
      <c r="AE137" s="612"/>
      <c r="AF137" s="612"/>
      <c r="AG137" s="612"/>
      <c r="AH137" s="612"/>
      <c r="AI137" s="613"/>
    </row>
    <row r="138" spans="1:35" ht="17.100000000000001" customHeight="1">
      <c r="A138" s="725"/>
      <c r="B138" s="726"/>
      <c r="C138" s="726"/>
      <c r="D138" s="726"/>
      <c r="E138" s="727"/>
      <c r="F138" s="600"/>
      <c r="G138" s="601"/>
      <c r="H138" s="600"/>
      <c r="I138" s="729"/>
      <c r="J138" s="729"/>
      <c r="K138" s="729"/>
      <c r="L138" s="601"/>
      <c r="M138" s="597" t="s">
        <v>2381</v>
      </c>
      <c r="N138" s="602"/>
      <c r="O138" s="603"/>
      <c r="P138" s="597" t="s">
        <v>2382</v>
      </c>
      <c r="Q138" s="602"/>
      <c r="R138" s="602"/>
      <c r="S138" s="603"/>
      <c r="T138" s="597" t="s">
        <v>2383</v>
      </c>
      <c r="U138" s="602"/>
      <c r="V138" s="602"/>
      <c r="W138" s="602"/>
      <c r="X138" s="602"/>
      <c r="Y138" s="603"/>
      <c r="Z138" s="597" t="s">
        <v>2384</v>
      </c>
      <c r="AA138" s="602"/>
      <c r="AB138" s="602"/>
      <c r="AC138" s="603"/>
      <c r="AD138" s="597" t="s">
        <v>2385</v>
      </c>
      <c r="AE138" s="602"/>
      <c r="AF138" s="602"/>
      <c r="AG138" s="603"/>
      <c r="AH138" s="597" t="s">
        <v>2386</v>
      </c>
      <c r="AI138" s="603"/>
    </row>
    <row r="139" spans="1:35" ht="17.850000000000001" customHeight="1">
      <c r="A139" s="719" t="s">
        <v>2544</v>
      </c>
      <c r="B139" s="720"/>
      <c r="C139" s="720"/>
      <c r="D139" s="720"/>
      <c r="E139" s="721"/>
      <c r="F139" s="716" t="s">
        <v>2545</v>
      </c>
      <c r="G139" s="718"/>
      <c r="H139" s="716" t="s">
        <v>2546</v>
      </c>
      <c r="I139" s="717"/>
      <c r="J139" s="717"/>
      <c r="K139" s="717"/>
      <c r="L139" s="718"/>
      <c r="M139" s="716" t="s">
        <v>2547</v>
      </c>
      <c r="N139" s="717"/>
      <c r="O139" s="718"/>
      <c r="P139" s="716" t="s">
        <v>2548</v>
      </c>
      <c r="Q139" s="717"/>
      <c r="R139" s="717"/>
      <c r="S139" s="718"/>
      <c r="T139" s="716" t="s">
        <v>2549</v>
      </c>
      <c r="U139" s="717"/>
      <c r="V139" s="717"/>
      <c r="W139" s="717"/>
      <c r="X139" s="717"/>
      <c r="Y139" s="718"/>
      <c r="Z139" s="716" t="s">
        <v>2550</v>
      </c>
      <c r="AA139" s="717"/>
      <c r="AB139" s="717"/>
      <c r="AC139" s="718"/>
      <c r="AD139" s="716" t="s">
        <v>2551</v>
      </c>
      <c r="AE139" s="717"/>
      <c r="AF139" s="717"/>
      <c r="AG139" s="718"/>
      <c r="AH139" s="716" t="s">
        <v>2552</v>
      </c>
      <c r="AI139" s="718"/>
    </row>
    <row r="140" spans="1:35" ht="17.850000000000001" customHeight="1">
      <c r="A140" s="713" t="s">
        <v>2396</v>
      </c>
      <c r="B140" s="714"/>
      <c r="C140" s="714"/>
      <c r="D140" s="714"/>
      <c r="E140" s="715"/>
      <c r="F140" s="706" t="s">
        <v>2553</v>
      </c>
      <c r="G140" s="708"/>
      <c r="H140" s="706" t="s">
        <v>2554</v>
      </c>
      <c r="I140" s="707"/>
      <c r="J140" s="707"/>
      <c r="K140" s="707"/>
      <c r="L140" s="708"/>
      <c r="M140" s="706" t="s">
        <v>2555</v>
      </c>
      <c r="N140" s="707"/>
      <c r="O140" s="708"/>
      <c r="P140" s="706" t="s">
        <v>2556</v>
      </c>
      <c r="Q140" s="707"/>
      <c r="R140" s="707"/>
      <c r="S140" s="708"/>
      <c r="T140" s="706" t="s">
        <v>2557</v>
      </c>
      <c r="U140" s="707"/>
      <c r="V140" s="707"/>
      <c r="W140" s="707"/>
      <c r="X140" s="707"/>
      <c r="Y140" s="708"/>
      <c r="Z140" s="706" t="s">
        <v>2558</v>
      </c>
      <c r="AA140" s="707"/>
      <c r="AB140" s="707"/>
      <c r="AC140" s="708"/>
      <c r="AD140" s="706" t="s">
        <v>2559</v>
      </c>
      <c r="AE140" s="707"/>
      <c r="AF140" s="707"/>
      <c r="AG140" s="708"/>
      <c r="AH140" s="706" t="s">
        <v>2560</v>
      </c>
      <c r="AI140" s="708"/>
    </row>
    <row r="141" spans="1:35" ht="17.100000000000001" customHeight="1">
      <c r="A141" s="713" t="s">
        <v>2397</v>
      </c>
      <c r="B141" s="714"/>
      <c r="C141" s="714"/>
      <c r="D141" s="714"/>
      <c r="E141" s="715"/>
      <c r="F141" s="706" t="s">
        <v>2561</v>
      </c>
      <c r="G141" s="708"/>
      <c r="H141" s="706" t="s">
        <v>2562</v>
      </c>
      <c r="I141" s="707"/>
      <c r="J141" s="707"/>
      <c r="K141" s="707"/>
      <c r="L141" s="708"/>
      <c r="M141" s="706" t="s">
        <v>2563</v>
      </c>
      <c r="N141" s="707"/>
      <c r="O141" s="708"/>
      <c r="P141" s="706" t="s">
        <v>2564</v>
      </c>
      <c r="Q141" s="707"/>
      <c r="R141" s="707"/>
      <c r="S141" s="708"/>
      <c r="T141" s="706" t="s">
        <v>2565</v>
      </c>
      <c r="U141" s="707"/>
      <c r="V141" s="707"/>
      <c r="W141" s="707"/>
      <c r="X141" s="707"/>
      <c r="Y141" s="708"/>
      <c r="Z141" s="706" t="s">
        <v>2566</v>
      </c>
      <c r="AA141" s="707"/>
      <c r="AB141" s="707"/>
      <c r="AC141" s="708"/>
      <c r="AD141" s="706" t="s">
        <v>2565</v>
      </c>
      <c r="AE141" s="707"/>
      <c r="AF141" s="707"/>
      <c r="AG141" s="708"/>
      <c r="AH141" s="706" t="s">
        <v>2566</v>
      </c>
      <c r="AI141" s="708"/>
    </row>
    <row r="142" spans="1:35" ht="17.850000000000001" customHeight="1">
      <c r="A142" s="713" t="s">
        <v>2567</v>
      </c>
      <c r="B142" s="714"/>
      <c r="C142" s="714"/>
      <c r="D142" s="714"/>
      <c r="E142" s="715"/>
      <c r="F142" s="706" t="s">
        <v>2568</v>
      </c>
      <c r="G142" s="708"/>
      <c r="H142" s="706" t="s">
        <v>2569</v>
      </c>
      <c r="I142" s="707"/>
      <c r="J142" s="707"/>
      <c r="K142" s="707"/>
      <c r="L142" s="708"/>
      <c r="M142" s="706" t="s">
        <v>2570</v>
      </c>
      <c r="N142" s="707"/>
      <c r="O142" s="708"/>
      <c r="P142" s="706" t="s">
        <v>2571</v>
      </c>
      <c r="Q142" s="707"/>
      <c r="R142" s="707"/>
      <c r="S142" s="708"/>
      <c r="T142" s="706" t="s">
        <v>2572</v>
      </c>
      <c r="U142" s="707"/>
      <c r="V142" s="707"/>
      <c r="W142" s="707"/>
      <c r="X142" s="707"/>
      <c r="Y142" s="708"/>
      <c r="Z142" s="706" t="s">
        <v>2573</v>
      </c>
      <c r="AA142" s="707"/>
      <c r="AB142" s="707"/>
      <c r="AC142" s="708"/>
      <c r="AD142" s="706" t="s">
        <v>2574</v>
      </c>
      <c r="AE142" s="707"/>
      <c r="AF142" s="707"/>
      <c r="AG142" s="708"/>
      <c r="AH142" s="706" t="s">
        <v>2575</v>
      </c>
      <c r="AI142" s="708"/>
    </row>
    <row r="143" spans="1:35" ht="17.100000000000001" customHeight="1">
      <c r="A143" s="713" t="s">
        <v>2396</v>
      </c>
      <c r="B143" s="714"/>
      <c r="C143" s="714"/>
      <c r="D143" s="714"/>
      <c r="E143" s="715"/>
      <c r="F143" s="706" t="s">
        <v>2576</v>
      </c>
      <c r="G143" s="708"/>
      <c r="H143" s="706" t="s">
        <v>2577</v>
      </c>
      <c r="I143" s="707"/>
      <c r="J143" s="707"/>
      <c r="K143" s="707"/>
      <c r="L143" s="708"/>
      <c r="M143" s="706" t="s">
        <v>2578</v>
      </c>
      <c r="N143" s="707"/>
      <c r="O143" s="708"/>
      <c r="P143" s="706" t="s">
        <v>2579</v>
      </c>
      <c r="Q143" s="707"/>
      <c r="R143" s="707"/>
      <c r="S143" s="708"/>
      <c r="T143" s="706" t="s">
        <v>2572</v>
      </c>
      <c r="U143" s="707"/>
      <c r="V143" s="707"/>
      <c r="W143" s="707"/>
      <c r="X143" s="707"/>
      <c r="Y143" s="708"/>
      <c r="Z143" s="706" t="s">
        <v>2580</v>
      </c>
      <c r="AA143" s="707"/>
      <c r="AB143" s="707"/>
      <c r="AC143" s="708"/>
      <c r="AD143" s="706" t="s">
        <v>2574</v>
      </c>
      <c r="AE143" s="707"/>
      <c r="AF143" s="707"/>
      <c r="AG143" s="708"/>
      <c r="AH143" s="706" t="s">
        <v>2581</v>
      </c>
      <c r="AI143" s="708"/>
    </row>
    <row r="144" spans="1:35" ht="17.850000000000001" customHeight="1">
      <c r="A144" s="713" t="s">
        <v>2397</v>
      </c>
      <c r="B144" s="714"/>
      <c r="C144" s="714"/>
      <c r="D144" s="714"/>
      <c r="E144" s="715"/>
      <c r="F144" s="706" t="s">
        <v>2582</v>
      </c>
      <c r="G144" s="708"/>
      <c r="H144" s="706" t="s">
        <v>2583</v>
      </c>
      <c r="I144" s="707"/>
      <c r="J144" s="707"/>
      <c r="K144" s="707"/>
      <c r="L144" s="708"/>
      <c r="M144" s="706" t="s">
        <v>1038</v>
      </c>
      <c r="N144" s="707"/>
      <c r="O144" s="708"/>
      <c r="P144" s="706" t="s">
        <v>2584</v>
      </c>
      <c r="Q144" s="707"/>
      <c r="R144" s="707"/>
      <c r="S144" s="708"/>
      <c r="T144" s="706" t="s">
        <v>1219</v>
      </c>
      <c r="U144" s="707"/>
      <c r="V144" s="707"/>
      <c r="W144" s="707"/>
      <c r="X144" s="707"/>
      <c r="Y144" s="708"/>
      <c r="Z144" s="706" t="s">
        <v>1219</v>
      </c>
      <c r="AA144" s="707"/>
      <c r="AB144" s="707"/>
      <c r="AC144" s="708"/>
      <c r="AD144" s="706" t="s">
        <v>1219</v>
      </c>
      <c r="AE144" s="707"/>
      <c r="AF144" s="707"/>
      <c r="AG144" s="708"/>
      <c r="AH144" s="706" t="s">
        <v>1219</v>
      </c>
      <c r="AI144" s="708"/>
    </row>
    <row r="145" spans="1:35" ht="17.850000000000001" customHeight="1">
      <c r="A145" s="713" t="s">
        <v>2585</v>
      </c>
      <c r="B145" s="714"/>
      <c r="C145" s="714"/>
      <c r="D145" s="714"/>
      <c r="E145" s="715"/>
      <c r="F145" s="706" t="s">
        <v>2586</v>
      </c>
      <c r="G145" s="708"/>
      <c r="H145" s="706" t="s">
        <v>2586</v>
      </c>
      <c r="I145" s="707"/>
      <c r="J145" s="707"/>
      <c r="K145" s="707"/>
      <c r="L145" s="708"/>
      <c r="M145" s="706" t="s">
        <v>2587</v>
      </c>
      <c r="N145" s="707"/>
      <c r="O145" s="708"/>
      <c r="P145" s="706" t="s">
        <v>2588</v>
      </c>
      <c r="Q145" s="707"/>
      <c r="R145" s="707"/>
      <c r="S145" s="708"/>
      <c r="T145" s="706" t="s">
        <v>2589</v>
      </c>
      <c r="U145" s="707"/>
      <c r="V145" s="707"/>
      <c r="W145" s="707"/>
      <c r="X145" s="707"/>
      <c r="Y145" s="708"/>
      <c r="Z145" s="706" t="s">
        <v>2590</v>
      </c>
      <c r="AA145" s="707"/>
      <c r="AB145" s="707"/>
      <c r="AC145" s="708"/>
      <c r="AD145" s="706" t="s">
        <v>2591</v>
      </c>
      <c r="AE145" s="707"/>
      <c r="AF145" s="707"/>
      <c r="AG145" s="708"/>
      <c r="AH145" s="706" t="s">
        <v>2592</v>
      </c>
      <c r="AI145" s="708"/>
    </row>
    <row r="146" spans="1:35" ht="17.100000000000001" customHeight="1">
      <c r="A146" s="713" t="s">
        <v>2396</v>
      </c>
      <c r="B146" s="714"/>
      <c r="C146" s="714"/>
      <c r="D146" s="714"/>
      <c r="E146" s="715"/>
      <c r="F146" s="706" t="s">
        <v>2586</v>
      </c>
      <c r="G146" s="708"/>
      <c r="H146" s="706" t="s">
        <v>2586</v>
      </c>
      <c r="I146" s="707"/>
      <c r="J146" s="707"/>
      <c r="K146" s="707"/>
      <c r="L146" s="708"/>
      <c r="M146" s="706" t="s">
        <v>2587</v>
      </c>
      <c r="N146" s="707"/>
      <c r="O146" s="708"/>
      <c r="P146" s="706" t="s">
        <v>2588</v>
      </c>
      <c r="Q146" s="707"/>
      <c r="R146" s="707"/>
      <c r="S146" s="708"/>
      <c r="T146" s="706" t="s">
        <v>2589</v>
      </c>
      <c r="U146" s="707"/>
      <c r="V146" s="707"/>
      <c r="W146" s="707"/>
      <c r="X146" s="707"/>
      <c r="Y146" s="708"/>
      <c r="Z146" s="706" t="s">
        <v>2590</v>
      </c>
      <c r="AA146" s="707"/>
      <c r="AB146" s="707"/>
      <c r="AC146" s="708"/>
      <c r="AD146" s="706" t="s">
        <v>2591</v>
      </c>
      <c r="AE146" s="707"/>
      <c r="AF146" s="707"/>
      <c r="AG146" s="708"/>
      <c r="AH146" s="706" t="s">
        <v>2592</v>
      </c>
      <c r="AI146" s="708"/>
    </row>
    <row r="147" spans="1:35" ht="17.850000000000001" customHeight="1">
      <c r="A147" s="713" t="s">
        <v>2397</v>
      </c>
      <c r="B147" s="714"/>
      <c r="C147" s="714"/>
      <c r="D147" s="714"/>
      <c r="E147" s="715"/>
      <c r="F147" s="706" t="s">
        <v>1219</v>
      </c>
      <c r="G147" s="708"/>
      <c r="H147" s="706" t="s">
        <v>1219</v>
      </c>
      <c r="I147" s="707"/>
      <c r="J147" s="707"/>
      <c r="K147" s="707"/>
      <c r="L147" s="708"/>
      <c r="M147" s="706" t="s">
        <v>1219</v>
      </c>
      <c r="N147" s="707"/>
      <c r="O147" s="708"/>
      <c r="P147" s="706" t="s">
        <v>1219</v>
      </c>
      <c r="Q147" s="707"/>
      <c r="R147" s="707"/>
      <c r="S147" s="708"/>
      <c r="T147" s="706" t="s">
        <v>1219</v>
      </c>
      <c r="U147" s="707"/>
      <c r="V147" s="707"/>
      <c r="W147" s="707"/>
      <c r="X147" s="707"/>
      <c r="Y147" s="708"/>
      <c r="Z147" s="706" t="s">
        <v>1219</v>
      </c>
      <c r="AA147" s="707"/>
      <c r="AB147" s="707"/>
      <c r="AC147" s="708"/>
      <c r="AD147" s="706" t="s">
        <v>1219</v>
      </c>
      <c r="AE147" s="707"/>
      <c r="AF147" s="707"/>
      <c r="AG147" s="708"/>
      <c r="AH147" s="706" t="s">
        <v>1219</v>
      </c>
      <c r="AI147" s="708"/>
    </row>
    <row r="148" spans="1:35" ht="17.850000000000001" customHeight="1">
      <c r="A148" s="713" t="s">
        <v>2593</v>
      </c>
      <c r="B148" s="714"/>
      <c r="C148" s="714"/>
      <c r="D148" s="714"/>
      <c r="E148" s="715"/>
      <c r="F148" s="706" t="s">
        <v>2594</v>
      </c>
      <c r="G148" s="708"/>
      <c r="H148" s="706" t="s">
        <v>2594</v>
      </c>
      <c r="I148" s="707"/>
      <c r="J148" s="707"/>
      <c r="K148" s="707"/>
      <c r="L148" s="708"/>
      <c r="M148" s="706" t="s">
        <v>2595</v>
      </c>
      <c r="N148" s="707"/>
      <c r="O148" s="708"/>
      <c r="P148" s="706" t="s">
        <v>2596</v>
      </c>
      <c r="Q148" s="707"/>
      <c r="R148" s="707"/>
      <c r="S148" s="708"/>
      <c r="T148" s="706" t="s">
        <v>2597</v>
      </c>
      <c r="U148" s="707"/>
      <c r="V148" s="707"/>
      <c r="W148" s="707"/>
      <c r="X148" s="707"/>
      <c r="Y148" s="708"/>
      <c r="Z148" s="706" t="s">
        <v>2598</v>
      </c>
      <c r="AA148" s="707"/>
      <c r="AB148" s="707"/>
      <c r="AC148" s="708"/>
      <c r="AD148" s="706" t="s">
        <v>2599</v>
      </c>
      <c r="AE148" s="707"/>
      <c r="AF148" s="707"/>
      <c r="AG148" s="708"/>
      <c r="AH148" s="706" t="s">
        <v>2600</v>
      </c>
      <c r="AI148" s="708"/>
    </row>
    <row r="149" spans="1:35" ht="17.100000000000001" customHeight="1">
      <c r="A149" s="713" t="s">
        <v>2396</v>
      </c>
      <c r="B149" s="714"/>
      <c r="C149" s="714"/>
      <c r="D149" s="714"/>
      <c r="E149" s="715"/>
      <c r="F149" s="706" t="s">
        <v>2594</v>
      </c>
      <c r="G149" s="708"/>
      <c r="H149" s="706" t="s">
        <v>2594</v>
      </c>
      <c r="I149" s="707"/>
      <c r="J149" s="707"/>
      <c r="K149" s="707"/>
      <c r="L149" s="708"/>
      <c r="M149" s="706" t="s">
        <v>2595</v>
      </c>
      <c r="N149" s="707"/>
      <c r="O149" s="708"/>
      <c r="P149" s="706" t="s">
        <v>2596</v>
      </c>
      <c r="Q149" s="707"/>
      <c r="R149" s="707"/>
      <c r="S149" s="708"/>
      <c r="T149" s="706" t="s">
        <v>2597</v>
      </c>
      <c r="U149" s="707"/>
      <c r="V149" s="707"/>
      <c r="W149" s="707"/>
      <c r="X149" s="707"/>
      <c r="Y149" s="708"/>
      <c r="Z149" s="706" t="s">
        <v>2598</v>
      </c>
      <c r="AA149" s="707"/>
      <c r="AB149" s="707"/>
      <c r="AC149" s="708"/>
      <c r="AD149" s="706" t="s">
        <v>2599</v>
      </c>
      <c r="AE149" s="707"/>
      <c r="AF149" s="707"/>
      <c r="AG149" s="708"/>
      <c r="AH149" s="706" t="s">
        <v>2600</v>
      </c>
      <c r="AI149" s="708"/>
    </row>
    <row r="150" spans="1:35" ht="17.850000000000001" customHeight="1">
      <c r="A150" s="713" t="s">
        <v>2397</v>
      </c>
      <c r="B150" s="714"/>
      <c r="C150" s="714"/>
      <c r="D150" s="714"/>
      <c r="E150" s="715"/>
      <c r="F150" s="706" t="s">
        <v>1219</v>
      </c>
      <c r="G150" s="708"/>
      <c r="H150" s="706" t="s">
        <v>1219</v>
      </c>
      <c r="I150" s="707"/>
      <c r="J150" s="707"/>
      <c r="K150" s="707"/>
      <c r="L150" s="708"/>
      <c r="M150" s="706" t="s">
        <v>1219</v>
      </c>
      <c r="N150" s="707"/>
      <c r="O150" s="708"/>
      <c r="P150" s="706" t="s">
        <v>1219</v>
      </c>
      <c r="Q150" s="707"/>
      <c r="R150" s="707"/>
      <c r="S150" s="708"/>
      <c r="T150" s="706" t="s">
        <v>1219</v>
      </c>
      <c r="U150" s="707"/>
      <c r="V150" s="707"/>
      <c r="W150" s="707"/>
      <c r="X150" s="707"/>
      <c r="Y150" s="708"/>
      <c r="Z150" s="706" t="s">
        <v>1219</v>
      </c>
      <c r="AA150" s="707"/>
      <c r="AB150" s="707"/>
      <c r="AC150" s="708"/>
      <c r="AD150" s="706" t="s">
        <v>1219</v>
      </c>
      <c r="AE150" s="707"/>
      <c r="AF150" s="707"/>
      <c r="AG150" s="708"/>
      <c r="AH150" s="706" t="s">
        <v>1219</v>
      </c>
      <c r="AI150" s="708"/>
    </row>
    <row r="151" spans="1:35" ht="17.100000000000001" customHeight="1">
      <c r="A151" s="713" t="s">
        <v>2601</v>
      </c>
      <c r="B151" s="714"/>
      <c r="C151" s="714"/>
      <c r="D151" s="714"/>
      <c r="E151" s="715"/>
      <c r="F151" s="706" t="s">
        <v>2602</v>
      </c>
      <c r="G151" s="708"/>
      <c r="H151" s="706" t="s">
        <v>2603</v>
      </c>
      <c r="I151" s="707"/>
      <c r="J151" s="707"/>
      <c r="K151" s="707"/>
      <c r="L151" s="708"/>
      <c r="M151" s="706" t="s">
        <v>2604</v>
      </c>
      <c r="N151" s="707"/>
      <c r="O151" s="708"/>
      <c r="P151" s="706" t="s">
        <v>2605</v>
      </c>
      <c r="Q151" s="707"/>
      <c r="R151" s="707"/>
      <c r="S151" s="708"/>
      <c r="T151" s="706" t="s">
        <v>2606</v>
      </c>
      <c r="U151" s="707"/>
      <c r="V151" s="707"/>
      <c r="W151" s="707"/>
      <c r="X151" s="707"/>
      <c r="Y151" s="708"/>
      <c r="Z151" s="706" t="s">
        <v>2607</v>
      </c>
      <c r="AA151" s="707"/>
      <c r="AB151" s="707"/>
      <c r="AC151" s="708"/>
      <c r="AD151" s="706" t="s">
        <v>2608</v>
      </c>
      <c r="AE151" s="707"/>
      <c r="AF151" s="707"/>
      <c r="AG151" s="708"/>
      <c r="AH151" s="706" t="s">
        <v>2609</v>
      </c>
      <c r="AI151" s="708"/>
    </row>
    <row r="152" spans="1:35" ht="17.850000000000001" customHeight="1">
      <c r="A152" s="713" t="s">
        <v>2396</v>
      </c>
      <c r="B152" s="714"/>
      <c r="C152" s="714"/>
      <c r="D152" s="714"/>
      <c r="E152" s="715"/>
      <c r="F152" s="706" t="s">
        <v>2610</v>
      </c>
      <c r="G152" s="708"/>
      <c r="H152" s="706" t="s">
        <v>2611</v>
      </c>
      <c r="I152" s="707"/>
      <c r="J152" s="707"/>
      <c r="K152" s="707"/>
      <c r="L152" s="708"/>
      <c r="M152" s="706" t="s">
        <v>2612</v>
      </c>
      <c r="N152" s="707"/>
      <c r="O152" s="708"/>
      <c r="P152" s="706" t="s">
        <v>2613</v>
      </c>
      <c r="Q152" s="707"/>
      <c r="R152" s="707"/>
      <c r="S152" s="708"/>
      <c r="T152" s="706" t="s">
        <v>2614</v>
      </c>
      <c r="U152" s="707"/>
      <c r="V152" s="707"/>
      <c r="W152" s="707"/>
      <c r="X152" s="707"/>
      <c r="Y152" s="708"/>
      <c r="Z152" s="706" t="s">
        <v>2615</v>
      </c>
      <c r="AA152" s="707"/>
      <c r="AB152" s="707"/>
      <c r="AC152" s="708"/>
      <c r="AD152" s="706" t="s">
        <v>2616</v>
      </c>
      <c r="AE152" s="707"/>
      <c r="AF152" s="707"/>
      <c r="AG152" s="708"/>
      <c r="AH152" s="706" t="s">
        <v>2617</v>
      </c>
      <c r="AI152" s="708"/>
    </row>
    <row r="153" spans="1:35" ht="17.850000000000001" customHeight="1">
      <c r="A153" s="713" t="s">
        <v>2397</v>
      </c>
      <c r="B153" s="714"/>
      <c r="C153" s="714"/>
      <c r="D153" s="714"/>
      <c r="E153" s="715"/>
      <c r="F153" s="706" t="s">
        <v>2618</v>
      </c>
      <c r="G153" s="708"/>
      <c r="H153" s="706" t="s">
        <v>2619</v>
      </c>
      <c r="I153" s="707"/>
      <c r="J153" s="707"/>
      <c r="K153" s="707"/>
      <c r="L153" s="708"/>
      <c r="M153" s="706" t="s">
        <v>2620</v>
      </c>
      <c r="N153" s="707"/>
      <c r="O153" s="708"/>
      <c r="P153" s="706" t="s">
        <v>2621</v>
      </c>
      <c r="Q153" s="707"/>
      <c r="R153" s="707"/>
      <c r="S153" s="708"/>
      <c r="T153" s="706" t="s">
        <v>2622</v>
      </c>
      <c r="U153" s="707"/>
      <c r="V153" s="707"/>
      <c r="W153" s="707"/>
      <c r="X153" s="707"/>
      <c r="Y153" s="708"/>
      <c r="Z153" s="706" t="s">
        <v>2623</v>
      </c>
      <c r="AA153" s="707"/>
      <c r="AB153" s="707"/>
      <c r="AC153" s="708"/>
      <c r="AD153" s="706" t="s">
        <v>2622</v>
      </c>
      <c r="AE153" s="707"/>
      <c r="AF153" s="707"/>
      <c r="AG153" s="708"/>
      <c r="AH153" s="706" t="s">
        <v>2623</v>
      </c>
      <c r="AI153" s="708"/>
    </row>
    <row r="154" spans="1:35" ht="17.100000000000001" customHeight="1">
      <c r="A154" s="713" t="s">
        <v>2624</v>
      </c>
      <c r="B154" s="714"/>
      <c r="C154" s="714"/>
      <c r="D154" s="714"/>
      <c r="E154" s="715"/>
      <c r="F154" s="706" t="s">
        <v>1219</v>
      </c>
      <c r="G154" s="708"/>
      <c r="H154" s="706" t="s">
        <v>1219</v>
      </c>
      <c r="I154" s="707"/>
      <c r="J154" s="707"/>
      <c r="K154" s="707"/>
      <c r="L154" s="708"/>
      <c r="M154" s="706" t="s">
        <v>1219</v>
      </c>
      <c r="N154" s="707"/>
      <c r="O154" s="708"/>
      <c r="P154" s="706" t="s">
        <v>1219</v>
      </c>
      <c r="Q154" s="707"/>
      <c r="R154" s="707"/>
      <c r="S154" s="708"/>
      <c r="T154" s="706" t="s">
        <v>1219</v>
      </c>
      <c r="U154" s="707"/>
      <c r="V154" s="707"/>
      <c r="W154" s="707"/>
      <c r="X154" s="707"/>
      <c r="Y154" s="708"/>
      <c r="Z154" s="706" t="s">
        <v>1219</v>
      </c>
      <c r="AA154" s="707"/>
      <c r="AB154" s="707"/>
      <c r="AC154" s="708"/>
      <c r="AD154" s="706" t="s">
        <v>1219</v>
      </c>
      <c r="AE154" s="707"/>
      <c r="AF154" s="707"/>
      <c r="AG154" s="708"/>
      <c r="AH154" s="706" t="s">
        <v>1219</v>
      </c>
      <c r="AI154" s="708"/>
    </row>
    <row r="155" spans="1:35" ht="17.850000000000001" customHeight="1">
      <c r="A155" s="713" t="s">
        <v>2396</v>
      </c>
      <c r="B155" s="714"/>
      <c r="C155" s="714"/>
      <c r="D155" s="714"/>
      <c r="E155" s="715"/>
      <c r="F155" s="706" t="s">
        <v>1219</v>
      </c>
      <c r="G155" s="708"/>
      <c r="H155" s="706" t="s">
        <v>1219</v>
      </c>
      <c r="I155" s="707"/>
      <c r="J155" s="707"/>
      <c r="K155" s="707"/>
      <c r="L155" s="708"/>
      <c r="M155" s="706" t="s">
        <v>1219</v>
      </c>
      <c r="N155" s="707"/>
      <c r="O155" s="708"/>
      <c r="P155" s="706" t="s">
        <v>1219</v>
      </c>
      <c r="Q155" s="707"/>
      <c r="R155" s="707"/>
      <c r="S155" s="708"/>
      <c r="T155" s="706" t="s">
        <v>1219</v>
      </c>
      <c r="U155" s="707"/>
      <c r="V155" s="707"/>
      <c r="W155" s="707"/>
      <c r="X155" s="707"/>
      <c r="Y155" s="708"/>
      <c r="Z155" s="706" t="s">
        <v>1219</v>
      </c>
      <c r="AA155" s="707"/>
      <c r="AB155" s="707"/>
      <c r="AC155" s="708"/>
      <c r="AD155" s="706" t="s">
        <v>1219</v>
      </c>
      <c r="AE155" s="707"/>
      <c r="AF155" s="707"/>
      <c r="AG155" s="708"/>
      <c r="AH155" s="706" t="s">
        <v>1219</v>
      </c>
      <c r="AI155" s="708"/>
    </row>
    <row r="156" spans="1:35" ht="17.850000000000001" customHeight="1">
      <c r="A156" s="713" t="s">
        <v>2397</v>
      </c>
      <c r="B156" s="714"/>
      <c r="C156" s="714"/>
      <c r="D156" s="714"/>
      <c r="E156" s="715"/>
      <c r="F156" s="706" t="s">
        <v>1219</v>
      </c>
      <c r="G156" s="708"/>
      <c r="H156" s="706" t="s">
        <v>1219</v>
      </c>
      <c r="I156" s="707"/>
      <c r="J156" s="707"/>
      <c r="K156" s="707"/>
      <c r="L156" s="708"/>
      <c r="M156" s="706" t="s">
        <v>1219</v>
      </c>
      <c r="N156" s="707"/>
      <c r="O156" s="708"/>
      <c r="P156" s="706" t="s">
        <v>1219</v>
      </c>
      <c r="Q156" s="707"/>
      <c r="R156" s="707"/>
      <c r="S156" s="708"/>
      <c r="T156" s="706" t="s">
        <v>1219</v>
      </c>
      <c r="U156" s="707"/>
      <c r="V156" s="707"/>
      <c r="W156" s="707"/>
      <c r="X156" s="707"/>
      <c r="Y156" s="708"/>
      <c r="Z156" s="706" t="s">
        <v>1219</v>
      </c>
      <c r="AA156" s="707"/>
      <c r="AB156" s="707"/>
      <c r="AC156" s="708"/>
      <c r="AD156" s="706" t="s">
        <v>1219</v>
      </c>
      <c r="AE156" s="707"/>
      <c r="AF156" s="707"/>
      <c r="AG156" s="708"/>
      <c r="AH156" s="706" t="s">
        <v>1219</v>
      </c>
      <c r="AI156" s="708"/>
    </row>
    <row r="157" spans="1:35" ht="17.100000000000001" customHeight="1">
      <c r="A157" s="713" t="s">
        <v>2625</v>
      </c>
      <c r="B157" s="714"/>
      <c r="C157" s="714"/>
      <c r="D157" s="714"/>
      <c r="E157" s="715"/>
      <c r="F157" s="706" t="s">
        <v>2626</v>
      </c>
      <c r="G157" s="708"/>
      <c r="H157" s="706" t="s">
        <v>2627</v>
      </c>
      <c r="I157" s="707"/>
      <c r="J157" s="707"/>
      <c r="K157" s="707"/>
      <c r="L157" s="708"/>
      <c r="M157" s="706" t="s">
        <v>2628</v>
      </c>
      <c r="N157" s="707"/>
      <c r="O157" s="708"/>
      <c r="P157" s="706" t="s">
        <v>2629</v>
      </c>
      <c r="Q157" s="707"/>
      <c r="R157" s="707"/>
      <c r="S157" s="708"/>
      <c r="T157" s="706" t="s">
        <v>2630</v>
      </c>
      <c r="U157" s="707"/>
      <c r="V157" s="707"/>
      <c r="W157" s="707"/>
      <c r="X157" s="707"/>
      <c r="Y157" s="708"/>
      <c r="Z157" s="706" t="s">
        <v>2631</v>
      </c>
      <c r="AA157" s="707"/>
      <c r="AB157" s="707"/>
      <c r="AC157" s="708"/>
      <c r="AD157" s="706" t="s">
        <v>2632</v>
      </c>
      <c r="AE157" s="707"/>
      <c r="AF157" s="707"/>
      <c r="AG157" s="708"/>
      <c r="AH157" s="706" t="s">
        <v>2633</v>
      </c>
      <c r="AI157" s="708"/>
    </row>
    <row r="158" spans="1:35" ht="17.850000000000001" customHeight="1">
      <c r="A158" s="713" t="s">
        <v>2396</v>
      </c>
      <c r="B158" s="714"/>
      <c r="C158" s="714"/>
      <c r="D158" s="714"/>
      <c r="E158" s="715"/>
      <c r="F158" s="706" t="s">
        <v>2634</v>
      </c>
      <c r="G158" s="708"/>
      <c r="H158" s="706" t="s">
        <v>2634</v>
      </c>
      <c r="I158" s="707"/>
      <c r="J158" s="707"/>
      <c r="K158" s="707"/>
      <c r="L158" s="708"/>
      <c r="M158" s="706" t="s">
        <v>1219</v>
      </c>
      <c r="N158" s="707"/>
      <c r="O158" s="708"/>
      <c r="P158" s="706" t="s">
        <v>1219</v>
      </c>
      <c r="Q158" s="707"/>
      <c r="R158" s="707"/>
      <c r="S158" s="708"/>
      <c r="T158" s="706" t="s">
        <v>1219</v>
      </c>
      <c r="U158" s="707"/>
      <c r="V158" s="707"/>
      <c r="W158" s="707"/>
      <c r="X158" s="707"/>
      <c r="Y158" s="708"/>
      <c r="Z158" s="706" t="s">
        <v>1219</v>
      </c>
      <c r="AA158" s="707"/>
      <c r="AB158" s="707"/>
      <c r="AC158" s="708"/>
      <c r="AD158" s="706" t="s">
        <v>1219</v>
      </c>
      <c r="AE158" s="707"/>
      <c r="AF158" s="707"/>
      <c r="AG158" s="708"/>
      <c r="AH158" s="706" t="s">
        <v>1219</v>
      </c>
      <c r="AI158" s="708"/>
    </row>
    <row r="159" spans="1:35" ht="17.100000000000001" customHeight="1">
      <c r="A159" s="709" t="s">
        <v>2397</v>
      </c>
      <c r="B159" s="710"/>
      <c r="C159" s="710"/>
      <c r="D159" s="710"/>
      <c r="E159" s="711"/>
      <c r="F159" s="704" t="s">
        <v>2635</v>
      </c>
      <c r="G159" s="705"/>
      <c r="H159" s="704" t="s">
        <v>2636</v>
      </c>
      <c r="I159" s="712"/>
      <c r="J159" s="712"/>
      <c r="K159" s="712"/>
      <c r="L159" s="705"/>
      <c r="M159" s="704" t="s">
        <v>2628</v>
      </c>
      <c r="N159" s="712"/>
      <c r="O159" s="705"/>
      <c r="P159" s="704" t="s">
        <v>2637</v>
      </c>
      <c r="Q159" s="712"/>
      <c r="R159" s="712"/>
      <c r="S159" s="705"/>
      <c r="T159" s="704" t="s">
        <v>2630</v>
      </c>
      <c r="U159" s="712"/>
      <c r="V159" s="712"/>
      <c r="W159" s="712"/>
      <c r="X159" s="712"/>
      <c r="Y159" s="705"/>
      <c r="Z159" s="704" t="s">
        <v>2638</v>
      </c>
      <c r="AA159" s="712"/>
      <c r="AB159" s="712"/>
      <c r="AC159" s="705"/>
      <c r="AD159" s="704" t="s">
        <v>2632</v>
      </c>
      <c r="AE159" s="712"/>
      <c r="AF159" s="712"/>
      <c r="AG159" s="705"/>
      <c r="AH159" s="704" t="s">
        <v>2639</v>
      </c>
      <c r="AI159" s="705"/>
    </row>
    <row r="160" spans="1:35" ht="17.850000000000001" customHeight="1">
      <c r="A160" s="695" t="s">
        <v>2640</v>
      </c>
      <c r="B160" s="696"/>
      <c r="C160" s="696"/>
      <c r="D160" s="696"/>
      <c r="E160" s="697"/>
      <c r="F160" s="688" t="s">
        <v>2641</v>
      </c>
      <c r="G160" s="690"/>
      <c r="H160" s="688" t="s">
        <v>2642</v>
      </c>
      <c r="I160" s="689"/>
      <c r="J160" s="689"/>
      <c r="K160" s="689"/>
      <c r="L160" s="690"/>
      <c r="M160" s="688" t="s">
        <v>2643</v>
      </c>
      <c r="N160" s="689"/>
      <c r="O160" s="690"/>
      <c r="P160" s="688" t="s">
        <v>2644</v>
      </c>
      <c r="Q160" s="689"/>
      <c r="R160" s="689"/>
      <c r="S160" s="690"/>
      <c r="T160" s="688" t="s">
        <v>2645</v>
      </c>
      <c r="U160" s="689"/>
      <c r="V160" s="689"/>
      <c r="W160" s="689"/>
      <c r="X160" s="689"/>
      <c r="Y160" s="690"/>
      <c r="Z160" s="688" t="s">
        <v>2646</v>
      </c>
      <c r="AA160" s="689"/>
      <c r="AB160" s="689"/>
      <c r="AC160" s="690"/>
      <c r="AD160" s="688" t="s">
        <v>2647</v>
      </c>
      <c r="AE160" s="689"/>
      <c r="AF160" s="689"/>
      <c r="AG160" s="690"/>
      <c r="AH160" s="688" t="s">
        <v>2648</v>
      </c>
      <c r="AI160" s="690"/>
    </row>
    <row r="161" spans="1:35" ht="11.85" customHeight="1">
      <c r="A161" s="618"/>
      <c r="B161" s="618"/>
      <c r="C161" s="618"/>
      <c r="D161" s="618"/>
      <c r="E161" s="618"/>
      <c r="F161" s="618"/>
      <c r="G161" s="618"/>
      <c r="H161" s="618"/>
      <c r="I161" s="618"/>
      <c r="J161" s="618"/>
      <c r="K161" s="618"/>
      <c r="L161" s="618"/>
      <c r="M161" s="618"/>
      <c r="N161" s="618"/>
      <c r="O161" s="618"/>
      <c r="P161" s="618"/>
      <c r="Q161" s="618"/>
      <c r="R161" s="618"/>
      <c r="S161" s="618"/>
      <c r="T161" s="618"/>
      <c r="U161" s="618"/>
      <c r="V161" s="618"/>
      <c r="W161" s="618"/>
      <c r="X161" s="618"/>
      <c r="Y161" s="618"/>
      <c r="Z161" s="618"/>
      <c r="AA161" s="618"/>
      <c r="AB161" s="618"/>
      <c r="AC161" s="618"/>
      <c r="AD161" s="618"/>
      <c r="AE161" s="618"/>
      <c r="AF161" s="618"/>
      <c r="AG161" s="618"/>
      <c r="AH161" s="618"/>
      <c r="AI161" s="618"/>
    </row>
    <row r="162" spans="1:35" ht="34.700000000000003" customHeight="1"/>
    <row r="163" spans="1:35" ht="11.85" customHeight="1">
      <c r="A163" s="615" t="s">
        <v>1332</v>
      </c>
      <c r="B163" s="615"/>
      <c r="C163" s="615"/>
      <c r="D163" s="615"/>
      <c r="E163" s="615"/>
      <c r="F163" s="615"/>
      <c r="G163" s="615"/>
      <c r="AH163" s="448" t="s">
        <v>1949</v>
      </c>
    </row>
    <row r="164" spans="1:35" ht="11.1" customHeight="1">
      <c r="A164" s="615" t="s">
        <v>1206</v>
      </c>
      <c r="B164" s="615"/>
      <c r="C164" s="615"/>
      <c r="D164" s="615"/>
      <c r="E164" s="615"/>
      <c r="F164" s="615"/>
      <c r="G164" s="615"/>
    </row>
    <row r="165" spans="1:35" ht="11.85" customHeight="1">
      <c r="A165" s="619" t="s">
        <v>2336</v>
      </c>
      <c r="B165" s="619"/>
      <c r="C165" s="619"/>
      <c r="D165" s="619"/>
      <c r="E165" s="619"/>
      <c r="F165" s="619"/>
      <c r="G165" s="619"/>
    </row>
    <row r="166" spans="1:35" ht="11.85" customHeight="1">
      <c r="A166" s="615" t="s">
        <v>1335</v>
      </c>
      <c r="B166" s="615"/>
      <c r="C166" s="615"/>
      <c r="D166" s="615"/>
      <c r="E166" s="615"/>
      <c r="F166" s="615"/>
      <c r="G166" s="615"/>
    </row>
    <row r="167" spans="1:35" ht="11.85" customHeight="1">
      <c r="A167" s="615" t="s">
        <v>1209</v>
      </c>
      <c r="B167" s="615"/>
      <c r="C167" s="615"/>
      <c r="D167" s="615"/>
      <c r="E167" s="615"/>
      <c r="F167" s="615"/>
      <c r="G167" s="615"/>
    </row>
    <row r="168" spans="1:35" ht="5.85" customHeight="1"/>
    <row r="169" spans="1:35" ht="11.1" customHeight="1">
      <c r="A169" s="616" t="s">
        <v>2337</v>
      </c>
      <c r="B169" s="616"/>
      <c r="C169" s="616"/>
      <c r="D169" s="616"/>
      <c r="E169" s="616"/>
      <c r="F169" s="616"/>
      <c r="G169" s="616"/>
      <c r="H169" s="449"/>
      <c r="I169" s="449"/>
      <c r="J169" s="449"/>
      <c r="K169" s="449"/>
      <c r="L169" s="449"/>
      <c r="M169" s="449"/>
      <c r="N169" s="449"/>
      <c r="O169" s="449"/>
      <c r="P169" s="449"/>
      <c r="Q169" s="449"/>
      <c r="R169" s="449"/>
      <c r="S169" s="449"/>
      <c r="T169" s="449"/>
      <c r="U169" s="449"/>
      <c r="V169" s="449"/>
      <c r="W169" s="449"/>
      <c r="X169" s="449"/>
      <c r="Y169" s="449"/>
      <c r="Z169" s="449"/>
      <c r="AA169" s="449"/>
      <c r="AB169" s="449"/>
      <c r="AC169" s="449"/>
      <c r="AD169" s="449"/>
      <c r="AE169" s="449"/>
      <c r="AF169" s="449"/>
      <c r="AG169" s="449"/>
      <c r="AH169" s="449"/>
      <c r="AI169" s="449"/>
    </row>
    <row r="170" spans="1:35" ht="11.85" customHeight="1">
      <c r="A170" s="722" t="s">
        <v>2649</v>
      </c>
      <c r="B170" s="723"/>
      <c r="C170" s="723"/>
      <c r="D170" s="723"/>
      <c r="E170" s="724"/>
      <c r="F170" s="597" t="s">
        <v>2379</v>
      </c>
      <c r="G170" s="599"/>
      <c r="H170" s="597" t="s">
        <v>1869</v>
      </c>
      <c r="I170" s="728"/>
      <c r="J170" s="728"/>
      <c r="K170" s="728"/>
      <c r="L170" s="599"/>
      <c r="M170" s="611" t="s">
        <v>1576</v>
      </c>
      <c r="N170" s="612"/>
      <c r="O170" s="612"/>
      <c r="P170" s="612"/>
      <c r="Q170" s="612"/>
      <c r="R170" s="612"/>
      <c r="S170" s="613"/>
      <c r="T170" s="611" t="s">
        <v>1578</v>
      </c>
      <c r="U170" s="612"/>
      <c r="V170" s="612"/>
      <c r="W170" s="612"/>
      <c r="X170" s="612"/>
      <c r="Y170" s="612"/>
      <c r="Z170" s="612"/>
      <c r="AA170" s="612"/>
      <c r="AB170" s="612"/>
      <c r="AC170" s="613"/>
      <c r="AD170" s="611" t="s">
        <v>2380</v>
      </c>
      <c r="AE170" s="612"/>
      <c r="AF170" s="612"/>
      <c r="AG170" s="612"/>
      <c r="AH170" s="612"/>
      <c r="AI170" s="613"/>
    </row>
    <row r="171" spans="1:35" ht="17.850000000000001" customHeight="1">
      <c r="A171" s="725"/>
      <c r="B171" s="726"/>
      <c r="C171" s="726"/>
      <c r="D171" s="726"/>
      <c r="E171" s="727"/>
      <c r="F171" s="600"/>
      <c r="G171" s="601"/>
      <c r="H171" s="600"/>
      <c r="I171" s="729"/>
      <c r="J171" s="729"/>
      <c r="K171" s="729"/>
      <c r="L171" s="601"/>
      <c r="M171" s="597" t="s">
        <v>2381</v>
      </c>
      <c r="N171" s="602"/>
      <c r="O171" s="603"/>
      <c r="P171" s="597" t="s">
        <v>2382</v>
      </c>
      <c r="Q171" s="602"/>
      <c r="R171" s="602"/>
      <c r="S171" s="603"/>
      <c r="T171" s="597" t="s">
        <v>2383</v>
      </c>
      <c r="U171" s="602"/>
      <c r="V171" s="602"/>
      <c r="W171" s="602"/>
      <c r="X171" s="602"/>
      <c r="Y171" s="603"/>
      <c r="Z171" s="597" t="s">
        <v>2384</v>
      </c>
      <c r="AA171" s="602"/>
      <c r="AB171" s="602"/>
      <c r="AC171" s="603"/>
      <c r="AD171" s="597" t="s">
        <v>2385</v>
      </c>
      <c r="AE171" s="602"/>
      <c r="AF171" s="602"/>
      <c r="AG171" s="603"/>
      <c r="AH171" s="597" t="s">
        <v>2386</v>
      </c>
      <c r="AI171" s="603"/>
    </row>
    <row r="172" spans="1:35" ht="17.100000000000001" customHeight="1">
      <c r="A172" s="719" t="s">
        <v>2650</v>
      </c>
      <c r="B172" s="720"/>
      <c r="C172" s="720"/>
      <c r="D172" s="720"/>
      <c r="E172" s="721"/>
      <c r="F172" s="606" t="s">
        <v>2651</v>
      </c>
      <c r="G172" s="608"/>
      <c r="H172" s="606" t="s">
        <v>2652</v>
      </c>
      <c r="I172" s="607"/>
      <c r="J172" s="607"/>
      <c r="K172" s="607"/>
      <c r="L172" s="608"/>
      <c r="M172" s="716" t="s">
        <v>2653</v>
      </c>
      <c r="N172" s="717"/>
      <c r="O172" s="718"/>
      <c r="P172" s="716" t="s">
        <v>2654</v>
      </c>
      <c r="Q172" s="717"/>
      <c r="R172" s="717"/>
      <c r="S172" s="718"/>
      <c r="T172" s="716" t="s">
        <v>2655</v>
      </c>
      <c r="U172" s="717"/>
      <c r="V172" s="717"/>
      <c r="W172" s="717"/>
      <c r="X172" s="717"/>
      <c r="Y172" s="718"/>
      <c r="Z172" s="716" t="s">
        <v>2656</v>
      </c>
      <c r="AA172" s="717"/>
      <c r="AB172" s="717"/>
      <c r="AC172" s="718"/>
      <c r="AD172" s="716" t="s">
        <v>2657</v>
      </c>
      <c r="AE172" s="717"/>
      <c r="AF172" s="717"/>
      <c r="AG172" s="718"/>
      <c r="AH172" s="716" t="s">
        <v>2658</v>
      </c>
      <c r="AI172" s="718"/>
    </row>
    <row r="173" spans="1:35" ht="17.850000000000001" customHeight="1">
      <c r="A173" s="713" t="s">
        <v>2659</v>
      </c>
      <c r="B173" s="714"/>
      <c r="C173" s="714"/>
      <c r="D173" s="714"/>
      <c r="E173" s="715"/>
      <c r="F173" s="589" t="s">
        <v>2660</v>
      </c>
      <c r="G173" s="591"/>
      <c r="H173" s="589" t="s">
        <v>2661</v>
      </c>
      <c r="I173" s="590"/>
      <c r="J173" s="590"/>
      <c r="K173" s="590"/>
      <c r="L173" s="591"/>
      <c r="M173" s="706" t="s">
        <v>2662</v>
      </c>
      <c r="N173" s="707"/>
      <c r="O173" s="708"/>
      <c r="P173" s="706" t="s">
        <v>2663</v>
      </c>
      <c r="Q173" s="707"/>
      <c r="R173" s="707"/>
      <c r="S173" s="708"/>
      <c r="T173" s="706" t="s">
        <v>2664</v>
      </c>
      <c r="U173" s="707"/>
      <c r="V173" s="707"/>
      <c r="W173" s="707"/>
      <c r="X173" s="707"/>
      <c r="Y173" s="708"/>
      <c r="Z173" s="706" t="s">
        <v>2665</v>
      </c>
      <c r="AA173" s="707"/>
      <c r="AB173" s="707"/>
      <c r="AC173" s="708"/>
      <c r="AD173" s="706" t="s">
        <v>2666</v>
      </c>
      <c r="AE173" s="707"/>
      <c r="AF173" s="707"/>
      <c r="AG173" s="708"/>
      <c r="AH173" s="706" t="s">
        <v>2667</v>
      </c>
      <c r="AI173" s="708"/>
    </row>
    <row r="174" spans="1:35" ht="17.850000000000001" customHeight="1">
      <c r="A174" s="713" t="s">
        <v>2668</v>
      </c>
      <c r="B174" s="714"/>
      <c r="C174" s="714"/>
      <c r="D174" s="714"/>
      <c r="E174" s="715"/>
      <c r="F174" s="589" t="s">
        <v>2669</v>
      </c>
      <c r="G174" s="591"/>
      <c r="H174" s="589" t="s">
        <v>2669</v>
      </c>
      <c r="I174" s="590"/>
      <c r="J174" s="590"/>
      <c r="K174" s="590"/>
      <c r="L174" s="591"/>
      <c r="M174" s="706" t="s">
        <v>2670</v>
      </c>
      <c r="N174" s="707"/>
      <c r="O174" s="708"/>
      <c r="P174" s="706" t="s">
        <v>2671</v>
      </c>
      <c r="Q174" s="707"/>
      <c r="R174" s="707"/>
      <c r="S174" s="708"/>
      <c r="T174" s="706" t="s">
        <v>2672</v>
      </c>
      <c r="U174" s="707"/>
      <c r="V174" s="707"/>
      <c r="W174" s="707"/>
      <c r="X174" s="707"/>
      <c r="Y174" s="708"/>
      <c r="Z174" s="706" t="s">
        <v>2673</v>
      </c>
      <c r="AA174" s="707"/>
      <c r="AB174" s="707"/>
      <c r="AC174" s="708"/>
      <c r="AD174" s="706" t="s">
        <v>2674</v>
      </c>
      <c r="AE174" s="707"/>
      <c r="AF174" s="707"/>
      <c r="AG174" s="708"/>
      <c r="AH174" s="706" t="s">
        <v>2675</v>
      </c>
      <c r="AI174" s="708"/>
    </row>
    <row r="175" spans="1:35" ht="17.100000000000001" customHeight="1">
      <c r="A175" s="713" t="s">
        <v>2676</v>
      </c>
      <c r="B175" s="714"/>
      <c r="C175" s="714"/>
      <c r="D175" s="714"/>
      <c r="E175" s="715"/>
      <c r="F175" s="589" t="s">
        <v>2677</v>
      </c>
      <c r="G175" s="591"/>
      <c r="H175" s="589" t="s">
        <v>2678</v>
      </c>
      <c r="I175" s="590"/>
      <c r="J175" s="590"/>
      <c r="K175" s="590"/>
      <c r="L175" s="591"/>
      <c r="M175" s="706" t="s">
        <v>2595</v>
      </c>
      <c r="N175" s="707"/>
      <c r="O175" s="708"/>
      <c r="P175" s="706" t="s">
        <v>2679</v>
      </c>
      <c r="Q175" s="707"/>
      <c r="R175" s="707"/>
      <c r="S175" s="708"/>
      <c r="T175" s="706" t="s">
        <v>2597</v>
      </c>
      <c r="U175" s="707"/>
      <c r="V175" s="707"/>
      <c r="W175" s="707"/>
      <c r="X175" s="707"/>
      <c r="Y175" s="708"/>
      <c r="Z175" s="706" t="s">
        <v>2680</v>
      </c>
      <c r="AA175" s="707"/>
      <c r="AB175" s="707"/>
      <c r="AC175" s="708"/>
      <c r="AD175" s="706" t="s">
        <v>2599</v>
      </c>
      <c r="AE175" s="707"/>
      <c r="AF175" s="707"/>
      <c r="AG175" s="708"/>
      <c r="AH175" s="706" t="s">
        <v>2681</v>
      </c>
      <c r="AI175" s="708"/>
    </row>
    <row r="176" spans="1:35" ht="17.850000000000001" customHeight="1">
      <c r="A176" s="713" t="s">
        <v>2682</v>
      </c>
      <c r="B176" s="714"/>
      <c r="C176" s="714"/>
      <c r="D176" s="714"/>
      <c r="E176" s="715"/>
      <c r="F176" s="589" t="s">
        <v>2683</v>
      </c>
      <c r="G176" s="591"/>
      <c r="H176" s="589" t="s">
        <v>2684</v>
      </c>
      <c r="I176" s="590"/>
      <c r="J176" s="590"/>
      <c r="K176" s="590"/>
      <c r="L176" s="591"/>
      <c r="M176" s="706" t="s">
        <v>2685</v>
      </c>
      <c r="N176" s="707"/>
      <c r="O176" s="708"/>
      <c r="P176" s="706" t="s">
        <v>2686</v>
      </c>
      <c r="Q176" s="707"/>
      <c r="R176" s="707"/>
      <c r="S176" s="708"/>
      <c r="T176" s="706" t="s">
        <v>2687</v>
      </c>
      <c r="U176" s="707"/>
      <c r="V176" s="707"/>
      <c r="W176" s="707"/>
      <c r="X176" s="707"/>
      <c r="Y176" s="708"/>
      <c r="Z176" s="706" t="s">
        <v>2688</v>
      </c>
      <c r="AA176" s="707"/>
      <c r="AB176" s="707"/>
      <c r="AC176" s="708"/>
      <c r="AD176" s="706" t="s">
        <v>2689</v>
      </c>
      <c r="AE176" s="707"/>
      <c r="AF176" s="707"/>
      <c r="AG176" s="708"/>
      <c r="AH176" s="706" t="s">
        <v>2690</v>
      </c>
      <c r="AI176" s="708"/>
    </row>
    <row r="177" spans="1:35" ht="17.100000000000001" customHeight="1">
      <c r="A177" s="713" t="s">
        <v>2691</v>
      </c>
      <c r="B177" s="714"/>
      <c r="C177" s="714"/>
      <c r="D177" s="714"/>
      <c r="E177" s="715"/>
      <c r="F177" s="589" t="s">
        <v>1219</v>
      </c>
      <c r="G177" s="591"/>
      <c r="H177" s="589" t="s">
        <v>1219</v>
      </c>
      <c r="I177" s="590"/>
      <c r="J177" s="590"/>
      <c r="K177" s="590"/>
      <c r="L177" s="591"/>
      <c r="M177" s="706" t="s">
        <v>1219</v>
      </c>
      <c r="N177" s="707"/>
      <c r="O177" s="708"/>
      <c r="P177" s="706" t="s">
        <v>1219</v>
      </c>
      <c r="Q177" s="707"/>
      <c r="R177" s="707"/>
      <c r="S177" s="708"/>
      <c r="T177" s="706" t="s">
        <v>1219</v>
      </c>
      <c r="U177" s="707"/>
      <c r="V177" s="707"/>
      <c r="W177" s="707"/>
      <c r="X177" s="707"/>
      <c r="Y177" s="708"/>
      <c r="Z177" s="706" t="s">
        <v>1219</v>
      </c>
      <c r="AA177" s="707"/>
      <c r="AB177" s="707"/>
      <c r="AC177" s="708"/>
      <c r="AD177" s="706" t="s">
        <v>1219</v>
      </c>
      <c r="AE177" s="707"/>
      <c r="AF177" s="707"/>
      <c r="AG177" s="708"/>
      <c r="AH177" s="706" t="s">
        <v>1219</v>
      </c>
      <c r="AI177" s="708"/>
    </row>
    <row r="178" spans="1:35" ht="17.850000000000001" customHeight="1">
      <c r="A178" s="709" t="s">
        <v>2436</v>
      </c>
      <c r="B178" s="710"/>
      <c r="C178" s="710"/>
      <c r="D178" s="710"/>
      <c r="E178" s="711"/>
      <c r="F178" s="594" t="s">
        <v>2692</v>
      </c>
      <c r="G178" s="596"/>
      <c r="H178" s="594" t="s">
        <v>2693</v>
      </c>
      <c r="I178" s="595"/>
      <c r="J178" s="595"/>
      <c r="K178" s="595"/>
      <c r="L178" s="596"/>
      <c r="M178" s="704" t="s">
        <v>2694</v>
      </c>
      <c r="N178" s="712"/>
      <c r="O178" s="705"/>
      <c r="P178" s="704" t="s">
        <v>2695</v>
      </c>
      <c r="Q178" s="712"/>
      <c r="R178" s="712"/>
      <c r="S178" s="705"/>
      <c r="T178" s="704" t="s">
        <v>2696</v>
      </c>
      <c r="U178" s="712"/>
      <c r="V178" s="712"/>
      <c r="W178" s="712"/>
      <c r="X178" s="712"/>
      <c r="Y178" s="705"/>
      <c r="Z178" s="704" t="s">
        <v>2697</v>
      </c>
      <c r="AA178" s="712"/>
      <c r="AB178" s="712"/>
      <c r="AC178" s="705"/>
      <c r="AD178" s="704" t="s">
        <v>2698</v>
      </c>
      <c r="AE178" s="712"/>
      <c r="AF178" s="712"/>
      <c r="AG178" s="705"/>
      <c r="AH178" s="704" t="s">
        <v>2699</v>
      </c>
      <c r="AI178" s="705"/>
    </row>
    <row r="179" spans="1:35" ht="17.850000000000001" customHeight="1">
      <c r="A179" s="695" t="s">
        <v>2700</v>
      </c>
      <c r="B179" s="696"/>
      <c r="C179" s="696"/>
      <c r="D179" s="696"/>
      <c r="E179" s="697"/>
      <c r="F179" s="698" t="s">
        <v>2701</v>
      </c>
      <c r="G179" s="699"/>
      <c r="H179" s="698" t="s">
        <v>2702</v>
      </c>
      <c r="I179" s="700"/>
      <c r="J179" s="700"/>
      <c r="K179" s="700"/>
      <c r="L179" s="699"/>
      <c r="M179" s="688" t="s">
        <v>2703</v>
      </c>
      <c r="N179" s="689"/>
      <c r="O179" s="690"/>
      <c r="P179" s="688" t="s">
        <v>2704</v>
      </c>
      <c r="Q179" s="689"/>
      <c r="R179" s="689"/>
      <c r="S179" s="690"/>
      <c r="T179" s="688" t="s">
        <v>2705</v>
      </c>
      <c r="U179" s="689"/>
      <c r="V179" s="689"/>
      <c r="W179" s="689"/>
      <c r="X179" s="689"/>
      <c r="Y179" s="690"/>
      <c r="Z179" s="688" t="s">
        <v>2706</v>
      </c>
      <c r="AA179" s="689"/>
      <c r="AB179" s="689"/>
      <c r="AC179" s="690"/>
      <c r="AD179" s="688" t="s">
        <v>2707</v>
      </c>
      <c r="AE179" s="689"/>
      <c r="AF179" s="689"/>
      <c r="AG179" s="690"/>
      <c r="AH179" s="688" t="s">
        <v>2708</v>
      </c>
      <c r="AI179" s="690"/>
    </row>
    <row r="180" spans="1:35" ht="17.100000000000001" customHeight="1">
      <c r="A180" s="701" t="s">
        <v>2709</v>
      </c>
      <c r="B180" s="702"/>
      <c r="C180" s="702"/>
      <c r="D180" s="702"/>
      <c r="E180" s="703"/>
      <c r="F180" s="629" t="s">
        <v>2710</v>
      </c>
      <c r="G180" s="631"/>
      <c r="H180" s="629" t="s">
        <v>2711</v>
      </c>
      <c r="I180" s="630"/>
      <c r="J180" s="630"/>
      <c r="K180" s="630"/>
      <c r="L180" s="631"/>
      <c r="M180" s="692" t="s">
        <v>2643</v>
      </c>
      <c r="N180" s="693"/>
      <c r="O180" s="694"/>
      <c r="P180" s="692" t="s">
        <v>2644</v>
      </c>
      <c r="Q180" s="693"/>
      <c r="R180" s="693"/>
      <c r="S180" s="694"/>
      <c r="T180" s="692" t="s">
        <v>2645</v>
      </c>
      <c r="U180" s="693"/>
      <c r="V180" s="693"/>
      <c r="W180" s="693"/>
      <c r="X180" s="693"/>
      <c r="Y180" s="694"/>
      <c r="Z180" s="692" t="s">
        <v>2646</v>
      </c>
      <c r="AA180" s="693"/>
      <c r="AB180" s="693"/>
      <c r="AC180" s="694"/>
      <c r="AD180" s="692" t="s">
        <v>2647</v>
      </c>
      <c r="AE180" s="693"/>
      <c r="AF180" s="693"/>
      <c r="AG180" s="694"/>
      <c r="AH180" s="692" t="s">
        <v>2648</v>
      </c>
      <c r="AI180" s="694"/>
    </row>
    <row r="181" spans="1:35" ht="17.850000000000001" customHeight="1">
      <c r="A181" s="695" t="s">
        <v>2712</v>
      </c>
      <c r="B181" s="696"/>
      <c r="C181" s="696"/>
      <c r="D181" s="696"/>
      <c r="E181" s="697"/>
      <c r="F181" s="698" t="s">
        <v>2713</v>
      </c>
      <c r="G181" s="699"/>
      <c r="H181" s="698" t="s">
        <v>2713</v>
      </c>
      <c r="I181" s="700"/>
      <c r="J181" s="700"/>
      <c r="K181" s="700"/>
      <c r="L181" s="699"/>
      <c r="M181" s="688" t="s">
        <v>942</v>
      </c>
      <c r="N181" s="689"/>
      <c r="O181" s="690"/>
      <c r="P181" s="688" t="s">
        <v>2453</v>
      </c>
      <c r="Q181" s="689"/>
      <c r="R181" s="689"/>
      <c r="S181" s="690"/>
      <c r="T181" s="688" t="s">
        <v>599</v>
      </c>
      <c r="U181" s="689"/>
      <c r="V181" s="689"/>
      <c r="W181" s="689"/>
      <c r="X181" s="689"/>
      <c r="Y181" s="690"/>
      <c r="Z181" s="688" t="s">
        <v>2454</v>
      </c>
      <c r="AA181" s="689"/>
      <c r="AB181" s="689"/>
      <c r="AC181" s="690"/>
      <c r="AD181" s="688" t="s">
        <v>2455</v>
      </c>
      <c r="AE181" s="689"/>
      <c r="AF181" s="689"/>
      <c r="AG181" s="690"/>
      <c r="AH181" s="688" t="s">
        <v>2456</v>
      </c>
      <c r="AI181" s="690"/>
    </row>
    <row r="182" spans="1:35" ht="11.85" customHeight="1">
      <c r="A182" s="618"/>
      <c r="B182" s="661"/>
      <c r="C182" s="661"/>
      <c r="D182" s="661"/>
      <c r="E182" s="661"/>
      <c r="F182" s="661"/>
      <c r="G182" s="661"/>
      <c r="H182" s="661"/>
      <c r="I182" s="661"/>
      <c r="J182" s="661"/>
      <c r="K182" s="661"/>
      <c r="L182" s="661"/>
      <c r="M182" s="661"/>
      <c r="N182" s="661"/>
      <c r="O182" s="661"/>
      <c r="P182" s="661"/>
      <c r="Q182" s="661"/>
      <c r="R182" s="661"/>
      <c r="S182" s="661"/>
      <c r="T182" s="661"/>
      <c r="U182" s="661"/>
      <c r="V182" s="661"/>
      <c r="W182" s="661"/>
      <c r="X182" s="661"/>
      <c r="Y182" s="661"/>
      <c r="Z182" s="661"/>
      <c r="AA182" s="661"/>
      <c r="AB182" s="661"/>
      <c r="AC182" s="661"/>
      <c r="AD182" s="661"/>
      <c r="AE182" s="661"/>
      <c r="AF182" s="661"/>
      <c r="AG182" s="661"/>
      <c r="AH182" s="661"/>
      <c r="AI182" s="618"/>
    </row>
    <row r="183" spans="1:35" ht="11.1" customHeight="1">
      <c r="A183" s="585" t="s">
        <v>2714</v>
      </c>
      <c r="B183" s="585"/>
      <c r="C183" s="585"/>
      <c r="D183" s="585"/>
      <c r="E183" s="585"/>
      <c r="F183" s="585"/>
      <c r="G183" s="585"/>
      <c r="H183" s="585"/>
      <c r="I183" s="585"/>
      <c r="J183" s="585"/>
      <c r="K183" s="585"/>
      <c r="L183" s="585"/>
      <c r="M183" s="585"/>
      <c r="N183" s="585"/>
      <c r="O183" s="585"/>
      <c r="P183" s="585"/>
      <c r="Q183" s="585"/>
      <c r="R183" s="585"/>
      <c r="S183" s="585"/>
      <c r="T183" s="585"/>
      <c r="U183" s="469"/>
      <c r="V183" s="469"/>
      <c r="W183" s="469"/>
      <c r="X183" s="469"/>
      <c r="Y183" s="469"/>
      <c r="Z183" s="469"/>
      <c r="AA183" s="469"/>
      <c r="AB183" s="469"/>
      <c r="AC183" s="469"/>
      <c r="AD183" s="469"/>
      <c r="AE183" s="469"/>
      <c r="AF183" s="469"/>
      <c r="AG183" s="469"/>
      <c r="AH183" s="469"/>
    </row>
    <row r="184" spans="1:35" ht="11.85" customHeight="1">
      <c r="A184" s="518" t="s">
        <v>2715</v>
      </c>
    </row>
    <row r="185" spans="1:35" ht="11.85" customHeight="1">
      <c r="A185" s="586" t="s">
        <v>2716</v>
      </c>
      <c r="B185" s="586"/>
      <c r="C185" s="586"/>
      <c r="D185" s="586"/>
      <c r="E185" s="586"/>
      <c r="F185" s="586"/>
      <c r="G185" s="586"/>
      <c r="H185" s="586"/>
      <c r="I185" s="586"/>
      <c r="J185" s="586"/>
      <c r="K185" s="586"/>
      <c r="L185" s="586"/>
      <c r="M185" s="586"/>
      <c r="N185" s="586"/>
      <c r="O185" s="586"/>
      <c r="P185" s="586"/>
      <c r="Q185" s="586"/>
      <c r="R185" s="586"/>
      <c r="S185" s="586"/>
      <c r="T185" s="586"/>
      <c r="U185" s="586"/>
      <c r="V185" s="586"/>
      <c r="W185" s="586"/>
    </row>
    <row r="186" spans="1:35" ht="22.9" customHeight="1">
      <c r="A186" s="691" t="s">
        <v>2717</v>
      </c>
      <c r="B186" s="691"/>
      <c r="C186" s="691"/>
      <c r="D186" s="691"/>
      <c r="E186" s="691"/>
      <c r="F186" s="691"/>
      <c r="G186" s="691"/>
      <c r="H186" s="691"/>
      <c r="I186" s="691"/>
      <c r="J186" s="691"/>
      <c r="K186" s="691"/>
      <c r="L186" s="691"/>
      <c r="M186" s="691"/>
      <c r="N186" s="691"/>
      <c r="O186" s="691"/>
      <c r="P186" s="691"/>
      <c r="Q186" s="691"/>
      <c r="R186" s="691"/>
      <c r="S186" s="691"/>
      <c r="T186" s="691"/>
      <c r="U186" s="691"/>
      <c r="V186" s="691"/>
      <c r="W186" s="691"/>
      <c r="X186" s="691"/>
      <c r="Y186" s="691"/>
      <c r="Z186" s="691"/>
      <c r="AA186" s="691"/>
    </row>
    <row r="187" spans="1:35" ht="11.85" customHeight="1">
      <c r="A187" s="586" t="s">
        <v>2718</v>
      </c>
      <c r="B187" s="586"/>
      <c r="C187" s="586"/>
      <c r="D187" s="586"/>
      <c r="E187" s="586"/>
      <c r="F187" s="586"/>
      <c r="G187" s="586"/>
      <c r="H187" s="586"/>
      <c r="I187" s="586"/>
      <c r="J187" s="586"/>
      <c r="K187" s="586"/>
      <c r="L187" s="586"/>
      <c r="M187" s="586"/>
      <c r="N187" s="586"/>
      <c r="O187" s="586"/>
      <c r="P187" s="586"/>
      <c r="Q187" s="586"/>
      <c r="R187" s="586"/>
      <c r="S187" s="586"/>
      <c r="T187" s="586"/>
      <c r="U187" s="586"/>
      <c r="V187" s="586"/>
      <c r="W187" s="586"/>
    </row>
    <row r="188" spans="1:35" ht="5.85" customHeight="1"/>
    <row r="189" spans="1:35" ht="11.85" customHeight="1"/>
    <row r="190" spans="1:35" ht="17.100000000000001" customHeight="1"/>
    <row r="191" spans="1:35" ht="11.85" customHeight="1"/>
    <row r="192" spans="1:35" ht="72.599999999999994" customHeight="1"/>
    <row r="193" ht="73.349999999999994" customHeight="1"/>
  </sheetData>
  <mergeCells count="932">
    <mergeCell ref="A8:I9"/>
    <mergeCell ref="J8:P9"/>
    <mergeCell ref="Q8:X9"/>
    <mergeCell ref="Y8:AI8"/>
    <mergeCell ref="Y9:AE9"/>
    <mergeCell ref="AF9:AI9"/>
    <mergeCell ref="A1:G1"/>
    <mergeCell ref="A2:G2"/>
    <mergeCell ref="A3:G3"/>
    <mergeCell ref="A4:G4"/>
    <mergeCell ref="A5:G5"/>
    <mergeCell ref="A7:G7"/>
    <mergeCell ref="A10:I10"/>
    <mergeCell ref="J10:P10"/>
    <mergeCell ref="Q10:X10"/>
    <mergeCell ref="Y10:AE10"/>
    <mergeCell ref="AF10:AI10"/>
    <mergeCell ref="A11:I11"/>
    <mergeCell ref="J11:P11"/>
    <mergeCell ref="Q11:X11"/>
    <mergeCell ref="Y11:AE11"/>
    <mergeCell ref="AF11:AI11"/>
    <mergeCell ref="A12:I12"/>
    <mergeCell ref="J12:P12"/>
    <mergeCell ref="Q12:X12"/>
    <mergeCell ref="Y12:AE12"/>
    <mergeCell ref="AF12:AI12"/>
    <mergeCell ref="A13:I13"/>
    <mergeCell ref="J13:P13"/>
    <mergeCell ref="Q13:X13"/>
    <mergeCell ref="Y13:AE13"/>
    <mergeCell ref="AF13:AI13"/>
    <mergeCell ref="A14:I14"/>
    <mergeCell ref="J14:P14"/>
    <mergeCell ref="Q14:X14"/>
    <mergeCell ref="Y14:AE14"/>
    <mergeCell ref="AF14:AI14"/>
    <mergeCell ref="A15:I15"/>
    <mergeCell ref="J15:P15"/>
    <mergeCell ref="Q15:X15"/>
    <mergeCell ref="Y15:AE15"/>
    <mergeCell ref="AF15:AI15"/>
    <mergeCell ref="A16:I16"/>
    <mergeCell ref="J16:P16"/>
    <mergeCell ref="Q16:X16"/>
    <mergeCell ref="Y16:AE16"/>
    <mergeCell ref="AF16:AI16"/>
    <mergeCell ref="A17:I17"/>
    <mergeCell ref="J17:P17"/>
    <mergeCell ref="Q17:X17"/>
    <mergeCell ref="Y17:AE17"/>
    <mergeCell ref="AF17:AI17"/>
    <mergeCell ref="A18:I18"/>
    <mergeCell ref="J18:P18"/>
    <mergeCell ref="Q18:X18"/>
    <mergeCell ref="Y18:AE18"/>
    <mergeCell ref="AF18:AI18"/>
    <mergeCell ref="A19:I19"/>
    <mergeCell ref="J19:P19"/>
    <mergeCell ref="Q19:X19"/>
    <mergeCell ref="Y19:AE19"/>
    <mergeCell ref="AF19:AI19"/>
    <mergeCell ref="A20:I20"/>
    <mergeCell ref="J20:P20"/>
    <mergeCell ref="Q20:X20"/>
    <mergeCell ref="Y20:AE20"/>
    <mergeCell ref="AF20:AI20"/>
    <mergeCell ref="A21:I21"/>
    <mergeCell ref="J21:P21"/>
    <mergeCell ref="Q21:X21"/>
    <mergeCell ref="Y21:AE21"/>
    <mergeCell ref="AF21:AI21"/>
    <mergeCell ref="A22:I22"/>
    <mergeCell ref="J22:P22"/>
    <mergeCell ref="Q22:X22"/>
    <mergeCell ref="Y22:AE22"/>
    <mergeCell ref="AF22:AI22"/>
    <mergeCell ref="A23:I23"/>
    <mergeCell ref="J23:P23"/>
    <mergeCell ref="Q23:X23"/>
    <mergeCell ref="Y23:AE23"/>
    <mergeCell ref="AF23:AI23"/>
    <mergeCell ref="A24:I24"/>
    <mergeCell ref="J24:P24"/>
    <mergeCell ref="Q24:X24"/>
    <mergeCell ref="Y24:AE24"/>
    <mergeCell ref="AF24:AI24"/>
    <mergeCell ref="A25:I25"/>
    <mergeCell ref="J25:P25"/>
    <mergeCell ref="Q25:X25"/>
    <mergeCell ref="Y25:AE25"/>
    <mergeCell ref="AF25:AI25"/>
    <mergeCell ref="A26:I26"/>
    <mergeCell ref="J26:P26"/>
    <mergeCell ref="Q26:X26"/>
    <mergeCell ref="Y26:AE26"/>
    <mergeCell ref="AF26:AI26"/>
    <mergeCell ref="A27:I27"/>
    <mergeCell ref="J27:P27"/>
    <mergeCell ref="Q27:X27"/>
    <mergeCell ref="Y27:AE27"/>
    <mergeCell ref="AF27:AI27"/>
    <mergeCell ref="A30:I30"/>
    <mergeCell ref="J30:P30"/>
    <mergeCell ref="Q30:X30"/>
    <mergeCell ref="Y30:AE30"/>
    <mergeCell ref="AF30:AI30"/>
    <mergeCell ref="A31:AI31"/>
    <mergeCell ref="A28:I28"/>
    <mergeCell ref="J28:P28"/>
    <mergeCell ref="Q28:X28"/>
    <mergeCell ref="Y28:AE28"/>
    <mergeCell ref="AF28:AI28"/>
    <mergeCell ref="A29:I29"/>
    <mergeCell ref="J29:P29"/>
    <mergeCell ref="Q29:X29"/>
    <mergeCell ref="Y29:AE29"/>
    <mergeCell ref="AF29:AI29"/>
    <mergeCell ref="AD33:AG33"/>
    <mergeCell ref="AH33:AI33"/>
    <mergeCell ref="A34:E34"/>
    <mergeCell ref="F34:G34"/>
    <mergeCell ref="H34:L34"/>
    <mergeCell ref="M34:O34"/>
    <mergeCell ref="P34:S34"/>
    <mergeCell ref="T34:Y34"/>
    <mergeCell ref="Z34:AC34"/>
    <mergeCell ref="AD34:AG34"/>
    <mergeCell ref="A32:E33"/>
    <mergeCell ref="F32:G33"/>
    <mergeCell ref="H32:L33"/>
    <mergeCell ref="M32:S32"/>
    <mergeCell ref="T32:AC32"/>
    <mergeCell ref="AD32:AI32"/>
    <mergeCell ref="M33:O33"/>
    <mergeCell ref="P33:S33"/>
    <mergeCell ref="T33:Y33"/>
    <mergeCell ref="Z33:AC33"/>
    <mergeCell ref="AH34:AI34"/>
    <mergeCell ref="A35:E35"/>
    <mergeCell ref="F35:G35"/>
    <mergeCell ref="H35:L35"/>
    <mergeCell ref="M35:O35"/>
    <mergeCell ref="P35:S35"/>
    <mergeCell ref="T35:Y35"/>
    <mergeCell ref="Z35:AC35"/>
    <mergeCell ref="AD35:AG35"/>
    <mergeCell ref="AH35:AI35"/>
    <mergeCell ref="Z36:AC36"/>
    <mergeCell ref="AD36:AG36"/>
    <mergeCell ref="AH36:AI36"/>
    <mergeCell ref="A37:E37"/>
    <mergeCell ref="F37:G37"/>
    <mergeCell ref="H37:L37"/>
    <mergeCell ref="M37:O37"/>
    <mergeCell ref="P37:S37"/>
    <mergeCell ref="T37:Y37"/>
    <mergeCell ref="Z37:AC37"/>
    <mergeCell ref="A36:E36"/>
    <mergeCell ref="F36:G36"/>
    <mergeCell ref="H36:L36"/>
    <mergeCell ref="M36:O36"/>
    <mergeCell ref="P36:S36"/>
    <mergeCell ref="T36:Y36"/>
    <mergeCell ref="AD37:AG37"/>
    <mergeCell ref="AH37:AI37"/>
    <mergeCell ref="A38:E38"/>
    <mergeCell ref="F38:G38"/>
    <mergeCell ref="H38:L38"/>
    <mergeCell ref="M38:O38"/>
    <mergeCell ref="P38:S38"/>
    <mergeCell ref="T38:Y38"/>
    <mergeCell ref="Z38:AC38"/>
    <mergeCell ref="AD38:AG38"/>
    <mergeCell ref="AH38:AI38"/>
    <mergeCell ref="A39:E39"/>
    <mergeCell ref="F39:G39"/>
    <mergeCell ref="H39:L39"/>
    <mergeCell ref="M39:O39"/>
    <mergeCell ref="P39:S39"/>
    <mergeCell ref="T39:Y39"/>
    <mergeCell ref="Z39:AC39"/>
    <mergeCell ref="AD39:AG39"/>
    <mergeCell ref="AH39:AI39"/>
    <mergeCell ref="Z40:AC40"/>
    <mergeCell ref="AD40:AG40"/>
    <mergeCell ref="AH40:AI40"/>
    <mergeCell ref="A41:E41"/>
    <mergeCell ref="F41:G41"/>
    <mergeCell ref="H41:L41"/>
    <mergeCell ref="M41:O41"/>
    <mergeCell ref="P41:S41"/>
    <mergeCell ref="T41:Y41"/>
    <mergeCell ref="Z41:AC41"/>
    <mergeCell ref="A40:E40"/>
    <mergeCell ref="F40:G40"/>
    <mergeCell ref="H40:L40"/>
    <mergeCell ref="M40:O40"/>
    <mergeCell ref="P40:S40"/>
    <mergeCell ref="T40:Y40"/>
    <mergeCell ref="AD41:AG41"/>
    <mergeCell ref="AH41:AI41"/>
    <mergeCell ref="A42:E42"/>
    <mergeCell ref="F42:G42"/>
    <mergeCell ref="H42:L42"/>
    <mergeCell ref="M42:O42"/>
    <mergeCell ref="P42:S42"/>
    <mergeCell ref="T42:Y42"/>
    <mergeCell ref="Z42:AC42"/>
    <mergeCell ref="AD42:AG42"/>
    <mergeCell ref="AH42:AI42"/>
    <mergeCell ref="A43:E43"/>
    <mergeCell ref="F43:G43"/>
    <mergeCell ref="H43:L43"/>
    <mergeCell ref="M43:O43"/>
    <mergeCell ref="P43:S43"/>
    <mergeCell ref="T43:Y43"/>
    <mergeCell ref="Z43:AC43"/>
    <mergeCell ref="AD43:AG43"/>
    <mergeCell ref="AH43:AI43"/>
    <mergeCell ref="Z44:AC44"/>
    <mergeCell ref="AD44:AG44"/>
    <mergeCell ref="AH44:AI44"/>
    <mergeCell ref="A45:E45"/>
    <mergeCell ref="F45:G45"/>
    <mergeCell ref="H45:L45"/>
    <mergeCell ref="M45:O45"/>
    <mergeCell ref="P45:S45"/>
    <mergeCell ref="T45:Y45"/>
    <mergeCell ref="Z45:AC45"/>
    <mergeCell ref="A44:E44"/>
    <mergeCell ref="F44:G44"/>
    <mergeCell ref="H44:L44"/>
    <mergeCell ref="M44:O44"/>
    <mergeCell ref="P44:S44"/>
    <mergeCell ref="T44:Y44"/>
    <mergeCell ref="AD45:AG45"/>
    <mergeCell ref="AH45:AI45"/>
    <mergeCell ref="A46:E46"/>
    <mergeCell ref="F46:G46"/>
    <mergeCell ref="H46:L46"/>
    <mergeCell ref="M46:O46"/>
    <mergeCell ref="P46:S46"/>
    <mergeCell ref="T46:Y46"/>
    <mergeCell ref="Z46:AC46"/>
    <mergeCell ref="AD46:AG46"/>
    <mergeCell ref="A48:G48"/>
    <mergeCell ref="A49:G49"/>
    <mergeCell ref="A50:G50"/>
    <mergeCell ref="A51:G51"/>
    <mergeCell ref="A52:G52"/>
    <mergeCell ref="A54:G54"/>
    <mergeCell ref="AH46:AI46"/>
    <mergeCell ref="A47:E47"/>
    <mergeCell ref="F47:G47"/>
    <mergeCell ref="H47:L47"/>
    <mergeCell ref="M47:O47"/>
    <mergeCell ref="P47:S47"/>
    <mergeCell ref="T47:Y47"/>
    <mergeCell ref="Z47:AC47"/>
    <mergeCell ref="AD47:AG47"/>
    <mergeCell ref="AH47:AI47"/>
    <mergeCell ref="AD56:AG56"/>
    <mergeCell ref="AH56:AI56"/>
    <mergeCell ref="A57:E57"/>
    <mergeCell ref="F57:G57"/>
    <mergeCell ref="H57:L57"/>
    <mergeCell ref="M57:O57"/>
    <mergeCell ref="P57:S57"/>
    <mergeCell ref="T57:Y57"/>
    <mergeCell ref="Z57:AC57"/>
    <mergeCell ref="AD57:AG57"/>
    <mergeCell ref="A55:E56"/>
    <mergeCell ref="F55:G56"/>
    <mergeCell ref="H55:L56"/>
    <mergeCell ref="M55:S55"/>
    <mergeCell ref="T55:AC55"/>
    <mergeCell ref="AD55:AI55"/>
    <mergeCell ref="M56:O56"/>
    <mergeCell ref="P56:S56"/>
    <mergeCell ref="T56:Y56"/>
    <mergeCell ref="Z56:AC56"/>
    <mergeCell ref="AH57:AI57"/>
    <mergeCell ref="A58:E58"/>
    <mergeCell ref="F58:G58"/>
    <mergeCell ref="H58:L58"/>
    <mergeCell ref="M58:O58"/>
    <mergeCell ref="P58:S58"/>
    <mergeCell ref="T58:Y58"/>
    <mergeCell ref="Z58:AC58"/>
    <mergeCell ref="AD58:AG58"/>
    <mergeCell ref="AH58:AI58"/>
    <mergeCell ref="Z59:AC59"/>
    <mergeCell ref="AD59:AG59"/>
    <mergeCell ref="AH59:AI59"/>
    <mergeCell ref="A60:E60"/>
    <mergeCell ref="F60:G60"/>
    <mergeCell ref="H60:L60"/>
    <mergeCell ref="M60:O60"/>
    <mergeCell ref="P60:S60"/>
    <mergeCell ref="T60:Y60"/>
    <mergeCell ref="Z60:AC60"/>
    <mergeCell ref="A59:E59"/>
    <mergeCell ref="F59:G59"/>
    <mergeCell ref="H59:L59"/>
    <mergeCell ref="M59:O59"/>
    <mergeCell ref="P59:S59"/>
    <mergeCell ref="T59:Y59"/>
    <mergeCell ref="AD60:AG60"/>
    <mergeCell ref="AH60:AI60"/>
    <mergeCell ref="A61:E61"/>
    <mergeCell ref="F61:G61"/>
    <mergeCell ref="H61:L61"/>
    <mergeCell ref="M61:O61"/>
    <mergeCell ref="P61:S61"/>
    <mergeCell ref="T61:Y61"/>
    <mergeCell ref="Z61:AC61"/>
    <mergeCell ref="AD61:AG61"/>
    <mergeCell ref="AH61:AI61"/>
    <mergeCell ref="A62:E62"/>
    <mergeCell ref="F62:G62"/>
    <mergeCell ref="H62:L62"/>
    <mergeCell ref="M62:O62"/>
    <mergeCell ref="P62:S62"/>
    <mergeCell ref="T62:Y62"/>
    <mergeCell ref="Z62:AC62"/>
    <mergeCell ref="AD62:AG62"/>
    <mergeCell ref="AH62:AI62"/>
    <mergeCell ref="Z63:AC63"/>
    <mergeCell ref="AD63:AG63"/>
    <mergeCell ref="AH63:AI63"/>
    <mergeCell ref="A64:E64"/>
    <mergeCell ref="F64:G64"/>
    <mergeCell ref="H64:L64"/>
    <mergeCell ref="M64:O64"/>
    <mergeCell ref="P64:S64"/>
    <mergeCell ref="T64:Y64"/>
    <mergeCell ref="Z64:AC64"/>
    <mergeCell ref="A63:E63"/>
    <mergeCell ref="F63:G63"/>
    <mergeCell ref="H63:L63"/>
    <mergeCell ref="M63:O63"/>
    <mergeCell ref="P63:S63"/>
    <mergeCell ref="T63:Y63"/>
    <mergeCell ref="A67:N67"/>
    <mergeCell ref="O67:U67"/>
    <mergeCell ref="V67:AD67"/>
    <mergeCell ref="AE67:AI67"/>
    <mergeCell ref="A68:N68"/>
    <mergeCell ref="O68:U68"/>
    <mergeCell ref="V68:AD68"/>
    <mergeCell ref="AE68:AI68"/>
    <mergeCell ref="AD64:AG64"/>
    <mergeCell ref="AH64:AI64"/>
    <mergeCell ref="A65:AI65"/>
    <mergeCell ref="A66:N66"/>
    <mergeCell ref="O66:U66"/>
    <mergeCell ref="V66:AD66"/>
    <mergeCell ref="AE66:AI66"/>
    <mergeCell ref="A71:N71"/>
    <mergeCell ref="O71:U71"/>
    <mergeCell ref="V71:AD71"/>
    <mergeCell ref="AE71:AI71"/>
    <mergeCell ref="A72:N72"/>
    <mergeCell ref="O72:AI72"/>
    <mergeCell ref="A69:N69"/>
    <mergeCell ref="O69:U69"/>
    <mergeCell ref="V69:AD69"/>
    <mergeCell ref="AE69:AI69"/>
    <mergeCell ref="A70:N70"/>
    <mergeCell ref="O70:U70"/>
    <mergeCell ref="V70:AD70"/>
    <mergeCell ref="AE70:AI70"/>
    <mergeCell ref="A75:N75"/>
    <mergeCell ref="O75:U75"/>
    <mergeCell ref="V75:AD75"/>
    <mergeCell ref="AE75:AI75"/>
    <mergeCell ref="A76:N76"/>
    <mergeCell ref="O76:U76"/>
    <mergeCell ref="V76:AD76"/>
    <mergeCell ref="AE76:AI76"/>
    <mergeCell ref="A73:N73"/>
    <mergeCell ref="O73:AI73"/>
    <mergeCell ref="A74:N74"/>
    <mergeCell ref="O74:U74"/>
    <mergeCell ref="V74:AD74"/>
    <mergeCell ref="AE74:AI74"/>
    <mergeCell ref="A81:K81"/>
    <mergeCell ref="L81:R81"/>
    <mergeCell ref="S81:V81"/>
    <mergeCell ref="W81:Z81"/>
    <mergeCell ref="AA81:AD81"/>
    <mergeCell ref="AE81:AI81"/>
    <mergeCell ref="A77:AI77"/>
    <mergeCell ref="A78:K80"/>
    <mergeCell ref="L78:AI78"/>
    <mergeCell ref="L79:R80"/>
    <mergeCell ref="S79:AD79"/>
    <mergeCell ref="AE79:AI80"/>
    <mergeCell ref="S80:V80"/>
    <mergeCell ref="W80:Z80"/>
    <mergeCell ref="AA80:AD80"/>
    <mergeCell ref="A83:K83"/>
    <mergeCell ref="L83:R83"/>
    <mergeCell ref="S83:V83"/>
    <mergeCell ref="W83:Z83"/>
    <mergeCell ref="AA83:AD83"/>
    <mergeCell ref="AE83:AI83"/>
    <mergeCell ref="A82:K82"/>
    <mergeCell ref="L82:R82"/>
    <mergeCell ref="S82:V82"/>
    <mergeCell ref="W82:Z82"/>
    <mergeCell ref="AA82:AD82"/>
    <mergeCell ref="AE82:AI82"/>
    <mergeCell ref="A85:AI85"/>
    <mergeCell ref="A87:G87"/>
    <mergeCell ref="A88:G88"/>
    <mergeCell ref="A89:G89"/>
    <mergeCell ref="A90:G90"/>
    <mergeCell ref="A91:G91"/>
    <mergeCell ref="A84:K84"/>
    <mergeCell ref="L84:R84"/>
    <mergeCell ref="S84:V84"/>
    <mergeCell ref="W84:Z84"/>
    <mergeCell ref="AA84:AD84"/>
    <mergeCell ref="AE84:AI84"/>
    <mergeCell ref="A93:G93"/>
    <mergeCell ref="A94:AI94"/>
    <mergeCell ref="A95:B95"/>
    <mergeCell ref="E95:F95"/>
    <mergeCell ref="G95:H95"/>
    <mergeCell ref="I95:M95"/>
    <mergeCell ref="N95:Q95"/>
    <mergeCell ref="R95:V95"/>
    <mergeCell ref="W95:AB95"/>
    <mergeCell ref="AC95:AF95"/>
    <mergeCell ref="AG95:AI95"/>
    <mergeCell ref="A96:B96"/>
    <mergeCell ref="E96:F96"/>
    <mergeCell ref="G96:H96"/>
    <mergeCell ref="I96:M96"/>
    <mergeCell ref="N96:Q96"/>
    <mergeCell ref="R96:V96"/>
    <mergeCell ref="W96:AB96"/>
    <mergeCell ref="AC96:AF96"/>
    <mergeCell ref="AG96:AI96"/>
    <mergeCell ref="W97:AB97"/>
    <mergeCell ref="AC97:AF97"/>
    <mergeCell ref="AG97:AI97"/>
    <mergeCell ref="A98:B98"/>
    <mergeCell ref="E98:F98"/>
    <mergeCell ref="G98:H98"/>
    <mergeCell ref="I98:M98"/>
    <mergeCell ref="N98:Q98"/>
    <mergeCell ref="R98:V98"/>
    <mergeCell ref="W98:AB98"/>
    <mergeCell ref="A97:B97"/>
    <mergeCell ref="E97:F97"/>
    <mergeCell ref="G97:H97"/>
    <mergeCell ref="I97:M97"/>
    <mergeCell ref="N97:Q97"/>
    <mergeCell ref="R97:V97"/>
    <mergeCell ref="AC98:AF98"/>
    <mergeCell ref="AG98:AI98"/>
    <mergeCell ref="A99:B99"/>
    <mergeCell ref="E99:F99"/>
    <mergeCell ref="G99:H99"/>
    <mergeCell ref="I99:M99"/>
    <mergeCell ref="N99:Q99"/>
    <mergeCell ref="R99:V99"/>
    <mergeCell ref="W99:AB99"/>
    <mergeCell ref="AC99:AF99"/>
    <mergeCell ref="AG99:AI99"/>
    <mergeCell ref="A100:B100"/>
    <mergeCell ref="E100:F100"/>
    <mergeCell ref="G100:H100"/>
    <mergeCell ref="I100:M100"/>
    <mergeCell ref="N100:Q100"/>
    <mergeCell ref="R100:V100"/>
    <mergeCell ref="W100:AB100"/>
    <mergeCell ref="AC100:AF100"/>
    <mergeCell ref="AG100:AI100"/>
    <mergeCell ref="W101:AB101"/>
    <mergeCell ref="AC101:AF101"/>
    <mergeCell ref="AG101:AI101"/>
    <mergeCell ref="A102:B102"/>
    <mergeCell ref="E102:F102"/>
    <mergeCell ref="G102:H102"/>
    <mergeCell ref="I102:M102"/>
    <mergeCell ref="N102:Q102"/>
    <mergeCell ref="R102:V102"/>
    <mergeCell ref="W102:AB102"/>
    <mergeCell ref="A101:B101"/>
    <mergeCell ref="E101:F101"/>
    <mergeCell ref="G101:H101"/>
    <mergeCell ref="I101:M101"/>
    <mergeCell ref="N101:Q101"/>
    <mergeCell ref="R101:V101"/>
    <mergeCell ref="AC102:AF102"/>
    <mergeCell ref="AG102:AI102"/>
    <mergeCell ref="A103:B103"/>
    <mergeCell ref="E103:F103"/>
    <mergeCell ref="G103:H103"/>
    <mergeCell ref="I103:M103"/>
    <mergeCell ref="N103:Q103"/>
    <mergeCell ref="R103:V103"/>
    <mergeCell ref="W103:AB103"/>
    <mergeCell ref="AC103:AF103"/>
    <mergeCell ref="A105:AI105"/>
    <mergeCell ref="A106:AF106"/>
    <mergeCell ref="AG106:AI106"/>
    <mergeCell ref="A107:AF107"/>
    <mergeCell ref="AG107:AI107"/>
    <mergeCell ref="A108:AF108"/>
    <mergeCell ref="AG108:AI108"/>
    <mergeCell ref="AG103:AI103"/>
    <mergeCell ref="A104:B104"/>
    <mergeCell ref="E104:F104"/>
    <mergeCell ref="G104:H104"/>
    <mergeCell ref="I104:M104"/>
    <mergeCell ref="N104:Q104"/>
    <mergeCell ref="R104:V104"/>
    <mergeCell ref="W104:AB104"/>
    <mergeCell ref="AC104:AF104"/>
    <mergeCell ref="AG104:AI104"/>
    <mergeCell ref="A113:J113"/>
    <mergeCell ref="K113:R113"/>
    <mergeCell ref="S113:V113"/>
    <mergeCell ref="W113:Z113"/>
    <mergeCell ref="AA113:AD113"/>
    <mergeCell ref="AE113:AI113"/>
    <mergeCell ref="A109:AI109"/>
    <mergeCell ref="A110:J112"/>
    <mergeCell ref="K110:AI110"/>
    <mergeCell ref="K111:R112"/>
    <mergeCell ref="S111:AD111"/>
    <mergeCell ref="AE111:AI112"/>
    <mergeCell ref="S112:V112"/>
    <mergeCell ref="W112:Z112"/>
    <mergeCell ref="AA112:AD112"/>
    <mergeCell ref="A115:J115"/>
    <mergeCell ref="K115:R115"/>
    <mergeCell ref="S115:V115"/>
    <mergeCell ref="W115:Z115"/>
    <mergeCell ref="AA115:AD115"/>
    <mergeCell ref="AE115:AI115"/>
    <mergeCell ref="A114:J114"/>
    <mergeCell ref="K114:R114"/>
    <mergeCell ref="S114:V114"/>
    <mergeCell ref="W114:Z114"/>
    <mergeCell ref="AA114:AD114"/>
    <mergeCell ref="AE114:AI114"/>
    <mergeCell ref="A117:AI117"/>
    <mergeCell ref="A118:I119"/>
    <mergeCell ref="J118:P119"/>
    <mergeCell ref="Q118:X119"/>
    <mergeCell ref="Y118:AI118"/>
    <mergeCell ref="Y119:AE119"/>
    <mergeCell ref="AF119:AI119"/>
    <mergeCell ref="A116:J116"/>
    <mergeCell ref="K116:R116"/>
    <mergeCell ref="S116:V116"/>
    <mergeCell ref="W116:Z116"/>
    <mergeCell ref="AA116:AD116"/>
    <mergeCell ref="AE116:AI116"/>
    <mergeCell ref="A120:I120"/>
    <mergeCell ref="J120:P120"/>
    <mergeCell ref="Q120:X120"/>
    <mergeCell ref="Y120:AE120"/>
    <mergeCell ref="AF120:AI120"/>
    <mergeCell ref="A121:I121"/>
    <mergeCell ref="J121:P121"/>
    <mergeCell ref="Q121:X121"/>
    <mergeCell ref="Y121:AE121"/>
    <mergeCell ref="AF121:AI121"/>
    <mergeCell ref="A122:I122"/>
    <mergeCell ref="J122:P122"/>
    <mergeCell ref="Q122:X122"/>
    <mergeCell ref="Y122:AE122"/>
    <mergeCell ref="AF122:AI122"/>
    <mergeCell ref="A123:I123"/>
    <mergeCell ref="J123:P123"/>
    <mergeCell ref="Q123:X123"/>
    <mergeCell ref="Y123:AE123"/>
    <mergeCell ref="AF123:AI123"/>
    <mergeCell ref="Y126:AE126"/>
    <mergeCell ref="AF126:AI126"/>
    <mergeCell ref="A127:AI127"/>
    <mergeCell ref="A124:I124"/>
    <mergeCell ref="J124:P124"/>
    <mergeCell ref="Q124:X124"/>
    <mergeCell ref="Y124:AE124"/>
    <mergeCell ref="AF124:AI124"/>
    <mergeCell ref="A125:I125"/>
    <mergeCell ref="J125:P125"/>
    <mergeCell ref="Q125:X125"/>
    <mergeCell ref="Y125:AE125"/>
    <mergeCell ref="AF125:AI125"/>
    <mergeCell ref="A129:G129"/>
    <mergeCell ref="A130:G130"/>
    <mergeCell ref="A131:G131"/>
    <mergeCell ref="A132:G132"/>
    <mergeCell ref="A133:G133"/>
    <mergeCell ref="A135:G135"/>
    <mergeCell ref="A126:I126"/>
    <mergeCell ref="J126:P126"/>
    <mergeCell ref="Q126:X126"/>
    <mergeCell ref="A136:AI136"/>
    <mergeCell ref="A137:E138"/>
    <mergeCell ref="F137:G138"/>
    <mergeCell ref="H137:L138"/>
    <mergeCell ref="M137:S137"/>
    <mergeCell ref="T137:AC137"/>
    <mergeCell ref="AD137:AI137"/>
    <mergeCell ref="M138:O138"/>
    <mergeCell ref="P138:S138"/>
    <mergeCell ref="T138:Y138"/>
    <mergeCell ref="Z138:AC138"/>
    <mergeCell ref="AD138:AG138"/>
    <mergeCell ref="AH138:AI138"/>
    <mergeCell ref="A139:E139"/>
    <mergeCell ref="F139:G139"/>
    <mergeCell ref="H139:L139"/>
    <mergeCell ref="M139:O139"/>
    <mergeCell ref="P139:S139"/>
    <mergeCell ref="T139:Y139"/>
    <mergeCell ref="Z139:AC139"/>
    <mergeCell ref="AD139:AG139"/>
    <mergeCell ref="AH139:AI139"/>
    <mergeCell ref="A140:E140"/>
    <mergeCell ref="F140:G140"/>
    <mergeCell ref="H140:L140"/>
    <mergeCell ref="M140:O140"/>
    <mergeCell ref="P140:S140"/>
    <mergeCell ref="T140:Y140"/>
    <mergeCell ref="Z140:AC140"/>
    <mergeCell ref="AD140:AG140"/>
    <mergeCell ref="AH140:AI140"/>
    <mergeCell ref="A141:E141"/>
    <mergeCell ref="F141:G141"/>
    <mergeCell ref="H141:L141"/>
    <mergeCell ref="M141:O141"/>
    <mergeCell ref="P141:S141"/>
    <mergeCell ref="T141:Y141"/>
    <mergeCell ref="Z141:AC141"/>
    <mergeCell ref="AD141:AG141"/>
    <mergeCell ref="AH141:AI141"/>
    <mergeCell ref="Z142:AC142"/>
    <mergeCell ref="AD142:AG142"/>
    <mergeCell ref="AH142:AI142"/>
    <mergeCell ref="A143:E143"/>
    <mergeCell ref="F143:G143"/>
    <mergeCell ref="H143:L143"/>
    <mergeCell ref="M143:O143"/>
    <mergeCell ref="P143:S143"/>
    <mergeCell ref="T143:Y143"/>
    <mergeCell ref="Z143:AC143"/>
    <mergeCell ref="A142:E142"/>
    <mergeCell ref="F142:G142"/>
    <mergeCell ref="H142:L142"/>
    <mergeCell ref="M142:O142"/>
    <mergeCell ref="P142:S142"/>
    <mergeCell ref="T142:Y142"/>
    <mergeCell ref="AD143:AG143"/>
    <mergeCell ref="AH143:AI143"/>
    <mergeCell ref="A144:E144"/>
    <mergeCell ref="F144:G144"/>
    <mergeCell ref="H144:L144"/>
    <mergeCell ref="M144:O144"/>
    <mergeCell ref="P144:S144"/>
    <mergeCell ref="T144:Y144"/>
    <mergeCell ref="Z144:AC144"/>
    <mergeCell ref="AD144:AG144"/>
    <mergeCell ref="AH144:AI144"/>
    <mergeCell ref="A145:E145"/>
    <mergeCell ref="F145:G145"/>
    <mergeCell ref="H145:L145"/>
    <mergeCell ref="M145:O145"/>
    <mergeCell ref="P145:S145"/>
    <mergeCell ref="T145:Y145"/>
    <mergeCell ref="Z145:AC145"/>
    <mergeCell ref="AD145:AG145"/>
    <mergeCell ref="AH145:AI145"/>
    <mergeCell ref="Z146:AC146"/>
    <mergeCell ref="AD146:AG146"/>
    <mergeCell ref="AH146:AI146"/>
    <mergeCell ref="A147:E147"/>
    <mergeCell ref="F147:G147"/>
    <mergeCell ref="H147:L147"/>
    <mergeCell ref="M147:O147"/>
    <mergeCell ref="P147:S147"/>
    <mergeCell ref="T147:Y147"/>
    <mergeCell ref="Z147:AC147"/>
    <mergeCell ref="A146:E146"/>
    <mergeCell ref="F146:G146"/>
    <mergeCell ref="H146:L146"/>
    <mergeCell ref="M146:O146"/>
    <mergeCell ref="P146:S146"/>
    <mergeCell ref="T146:Y146"/>
    <mergeCell ref="AD147:AG147"/>
    <mergeCell ref="AH147:AI147"/>
    <mergeCell ref="A148:E148"/>
    <mergeCell ref="F148:G148"/>
    <mergeCell ref="H148:L148"/>
    <mergeCell ref="M148:O148"/>
    <mergeCell ref="P148:S148"/>
    <mergeCell ref="T148:Y148"/>
    <mergeCell ref="Z148:AC148"/>
    <mergeCell ref="AD148:AG148"/>
    <mergeCell ref="AH148:AI148"/>
    <mergeCell ref="A149:E149"/>
    <mergeCell ref="F149:G149"/>
    <mergeCell ref="H149:L149"/>
    <mergeCell ref="M149:O149"/>
    <mergeCell ref="P149:S149"/>
    <mergeCell ref="T149:Y149"/>
    <mergeCell ref="Z149:AC149"/>
    <mergeCell ref="AD149:AG149"/>
    <mergeCell ref="AH149:AI149"/>
    <mergeCell ref="Z150:AC150"/>
    <mergeCell ref="AD150:AG150"/>
    <mergeCell ref="AH150:AI150"/>
    <mergeCell ref="A151:E151"/>
    <mergeCell ref="F151:G151"/>
    <mergeCell ref="H151:L151"/>
    <mergeCell ref="M151:O151"/>
    <mergeCell ref="P151:S151"/>
    <mergeCell ref="T151:Y151"/>
    <mergeCell ref="Z151:AC151"/>
    <mergeCell ref="A150:E150"/>
    <mergeCell ref="F150:G150"/>
    <mergeCell ref="H150:L150"/>
    <mergeCell ref="M150:O150"/>
    <mergeCell ref="P150:S150"/>
    <mergeCell ref="T150:Y150"/>
    <mergeCell ref="AD151:AG151"/>
    <mergeCell ref="AH151:AI151"/>
    <mergeCell ref="A152:E152"/>
    <mergeCell ref="F152:G152"/>
    <mergeCell ref="H152:L152"/>
    <mergeCell ref="M152:O152"/>
    <mergeCell ref="P152:S152"/>
    <mergeCell ref="T152:Y152"/>
    <mergeCell ref="Z152:AC152"/>
    <mergeCell ref="AD152:AG152"/>
    <mergeCell ref="AH152:AI152"/>
    <mergeCell ref="A153:E153"/>
    <mergeCell ref="F153:G153"/>
    <mergeCell ref="H153:L153"/>
    <mergeCell ref="M153:O153"/>
    <mergeCell ref="P153:S153"/>
    <mergeCell ref="T153:Y153"/>
    <mergeCell ref="Z153:AC153"/>
    <mergeCell ref="AD153:AG153"/>
    <mergeCell ref="AH153:AI153"/>
    <mergeCell ref="Z154:AC154"/>
    <mergeCell ref="AD154:AG154"/>
    <mergeCell ref="AH154:AI154"/>
    <mergeCell ref="A155:E155"/>
    <mergeCell ref="F155:G155"/>
    <mergeCell ref="H155:L155"/>
    <mergeCell ref="M155:O155"/>
    <mergeCell ref="P155:S155"/>
    <mergeCell ref="T155:Y155"/>
    <mergeCell ref="Z155:AC155"/>
    <mergeCell ref="A154:E154"/>
    <mergeCell ref="F154:G154"/>
    <mergeCell ref="H154:L154"/>
    <mergeCell ref="M154:O154"/>
    <mergeCell ref="P154:S154"/>
    <mergeCell ref="T154:Y154"/>
    <mergeCell ref="AD155:AG155"/>
    <mergeCell ref="AH155:AI155"/>
    <mergeCell ref="A156:E156"/>
    <mergeCell ref="F156:G156"/>
    <mergeCell ref="H156:L156"/>
    <mergeCell ref="M156:O156"/>
    <mergeCell ref="P156:S156"/>
    <mergeCell ref="T156:Y156"/>
    <mergeCell ref="Z156:AC156"/>
    <mergeCell ref="AD156:AG156"/>
    <mergeCell ref="AH156:AI156"/>
    <mergeCell ref="A157:E157"/>
    <mergeCell ref="F157:G157"/>
    <mergeCell ref="H157:L157"/>
    <mergeCell ref="M157:O157"/>
    <mergeCell ref="P157:S157"/>
    <mergeCell ref="T157:Y157"/>
    <mergeCell ref="Z157:AC157"/>
    <mergeCell ref="AD157:AG157"/>
    <mergeCell ref="AH157:AI157"/>
    <mergeCell ref="Z158:AC158"/>
    <mergeCell ref="AD158:AG158"/>
    <mergeCell ref="AH158:AI158"/>
    <mergeCell ref="A159:E159"/>
    <mergeCell ref="F159:G159"/>
    <mergeCell ref="H159:L159"/>
    <mergeCell ref="M159:O159"/>
    <mergeCell ref="P159:S159"/>
    <mergeCell ref="T159:Y159"/>
    <mergeCell ref="Z159:AC159"/>
    <mergeCell ref="A158:E158"/>
    <mergeCell ref="F158:G158"/>
    <mergeCell ref="H158:L158"/>
    <mergeCell ref="M158:O158"/>
    <mergeCell ref="P158:S158"/>
    <mergeCell ref="T158:Y158"/>
    <mergeCell ref="AH160:AI160"/>
    <mergeCell ref="A161:AI161"/>
    <mergeCell ref="A163:G163"/>
    <mergeCell ref="A164:G164"/>
    <mergeCell ref="A165:G165"/>
    <mergeCell ref="A166:G166"/>
    <mergeCell ref="AD159:AG159"/>
    <mergeCell ref="AH159:AI159"/>
    <mergeCell ref="A160:E160"/>
    <mergeCell ref="F160:G160"/>
    <mergeCell ref="H160:L160"/>
    <mergeCell ref="M160:O160"/>
    <mergeCell ref="P160:S160"/>
    <mergeCell ref="T160:Y160"/>
    <mergeCell ref="Z160:AC160"/>
    <mergeCell ref="AD160:AG160"/>
    <mergeCell ref="T170:AC170"/>
    <mergeCell ref="AD170:AI170"/>
    <mergeCell ref="M171:O171"/>
    <mergeCell ref="P171:S171"/>
    <mergeCell ref="T171:Y171"/>
    <mergeCell ref="Z171:AC171"/>
    <mergeCell ref="AD171:AG171"/>
    <mergeCell ref="AH171:AI171"/>
    <mergeCell ref="A167:G167"/>
    <mergeCell ref="A169:G169"/>
    <mergeCell ref="A170:E171"/>
    <mergeCell ref="F170:G171"/>
    <mergeCell ref="H170:L171"/>
    <mergeCell ref="M170:S170"/>
    <mergeCell ref="Z172:AC172"/>
    <mergeCell ref="AD172:AG172"/>
    <mergeCell ref="AH172:AI172"/>
    <mergeCell ref="A173:E173"/>
    <mergeCell ref="F173:G173"/>
    <mergeCell ref="H173:L173"/>
    <mergeCell ref="M173:O173"/>
    <mergeCell ref="P173:S173"/>
    <mergeCell ref="T173:Y173"/>
    <mergeCell ref="Z173:AC173"/>
    <mergeCell ref="A172:E172"/>
    <mergeCell ref="F172:G172"/>
    <mergeCell ref="H172:L172"/>
    <mergeCell ref="M172:O172"/>
    <mergeCell ref="P172:S172"/>
    <mergeCell ref="T172:Y172"/>
    <mergeCell ref="AD173:AG173"/>
    <mergeCell ref="AH173:AI173"/>
    <mergeCell ref="A174:E174"/>
    <mergeCell ref="F174:G174"/>
    <mergeCell ref="H174:L174"/>
    <mergeCell ref="M174:O174"/>
    <mergeCell ref="P174:S174"/>
    <mergeCell ref="T174:Y174"/>
    <mergeCell ref="Z174:AC174"/>
    <mergeCell ref="AD174:AG174"/>
    <mergeCell ref="AH174:AI174"/>
    <mergeCell ref="A175:E175"/>
    <mergeCell ref="F175:G175"/>
    <mergeCell ref="H175:L175"/>
    <mergeCell ref="M175:O175"/>
    <mergeCell ref="P175:S175"/>
    <mergeCell ref="T175:Y175"/>
    <mergeCell ref="Z175:AC175"/>
    <mergeCell ref="AD175:AG175"/>
    <mergeCell ref="AH175:AI175"/>
    <mergeCell ref="Z176:AC176"/>
    <mergeCell ref="AD176:AG176"/>
    <mergeCell ref="AH176:AI176"/>
    <mergeCell ref="A177:E177"/>
    <mergeCell ref="F177:G177"/>
    <mergeCell ref="H177:L177"/>
    <mergeCell ref="M177:O177"/>
    <mergeCell ref="P177:S177"/>
    <mergeCell ref="T177:Y177"/>
    <mergeCell ref="Z177:AC177"/>
    <mergeCell ref="A176:E176"/>
    <mergeCell ref="F176:G176"/>
    <mergeCell ref="H176:L176"/>
    <mergeCell ref="M176:O176"/>
    <mergeCell ref="P176:S176"/>
    <mergeCell ref="T176:Y176"/>
    <mergeCell ref="AD177:AG177"/>
    <mergeCell ref="AH177:AI177"/>
    <mergeCell ref="A178:E178"/>
    <mergeCell ref="F178:G178"/>
    <mergeCell ref="H178:L178"/>
    <mergeCell ref="M178:O178"/>
    <mergeCell ref="P178:S178"/>
    <mergeCell ref="T178:Y178"/>
    <mergeCell ref="Z178:AC178"/>
    <mergeCell ref="AD178:AG178"/>
    <mergeCell ref="AH178:AI178"/>
    <mergeCell ref="A179:E179"/>
    <mergeCell ref="F179:G179"/>
    <mergeCell ref="H179:L179"/>
    <mergeCell ref="M179:O179"/>
    <mergeCell ref="P179:S179"/>
    <mergeCell ref="T179:Y179"/>
    <mergeCell ref="Z179:AC179"/>
    <mergeCell ref="AD179:AG179"/>
    <mergeCell ref="AH179:AI179"/>
    <mergeCell ref="A187:W187"/>
    <mergeCell ref="AD181:AG181"/>
    <mergeCell ref="AH181:AI181"/>
    <mergeCell ref="A182:AI182"/>
    <mergeCell ref="A183:T183"/>
    <mergeCell ref="A185:W185"/>
    <mergeCell ref="A186:AA186"/>
    <mergeCell ref="Z180:AC180"/>
    <mergeCell ref="AD180:AG180"/>
    <mergeCell ref="AH180:AI180"/>
    <mergeCell ref="A181:E181"/>
    <mergeCell ref="F181:G181"/>
    <mergeCell ref="H181:L181"/>
    <mergeCell ref="M181:O181"/>
    <mergeCell ref="P181:S181"/>
    <mergeCell ref="T181:Y181"/>
    <mergeCell ref="Z181:AC181"/>
    <mergeCell ref="A180:E180"/>
    <mergeCell ref="F180:G180"/>
    <mergeCell ref="H180:L180"/>
    <mergeCell ref="M180:O180"/>
    <mergeCell ref="P180:S180"/>
    <mergeCell ref="T180:Y180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IV65536"/>
  <sheetViews>
    <sheetView topLeftCell="A38" workbookViewId="0">
      <selection activeCell="A75" sqref="A75"/>
    </sheetView>
  </sheetViews>
  <sheetFormatPr defaultRowHeight="15"/>
  <cols>
    <col min="1" max="3" width="1.7109375" customWidth="1"/>
    <col min="4" max="4" width="40.7109375" customWidth="1"/>
    <col min="5" max="7" width="14.7109375" customWidth="1"/>
    <col min="9" max="9" width="14.7109375" bestFit="1" customWidth="1"/>
    <col min="256" max="256" width="85.7109375" customWidth="1"/>
  </cols>
  <sheetData>
    <row r="2" spans="1:7">
      <c r="A2" s="582" t="s">
        <v>2237</v>
      </c>
      <c r="B2" s="582"/>
      <c r="C2" s="582"/>
      <c r="D2" s="582"/>
      <c r="E2" s="582"/>
      <c r="F2" s="582"/>
      <c r="G2" s="582"/>
    </row>
    <row r="3" spans="1:7">
      <c r="A3" s="582" t="s">
        <v>1300</v>
      </c>
      <c r="B3" s="582"/>
      <c r="C3" s="582"/>
      <c r="D3" s="582"/>
      <c r="E3" s="582"/>
      <c r="F3" s="582"/>
      <c r="G3" s="582"/>
    </row>
    <row r="4" spans="1:7">
      <c r="A4" s="583" t="s">
        <v>2238</v>
      </c>
      <c r="B4" s="583"/>
      <c r="C4" s="583"/>
      <c r="D4" s="583"/>
      <c r="E4" s="583"/>
      <c r="F4" s="583"/>
      <c r="G4" s="583"/>
    </row>
    <row r="5" spans="1:7">
      <c r="A5" s="582" t="s">
        <v>1302</v>
      </c>
      <c r="B5" s="582"/>
      <c r="C5" s="582"/>
      <c r="D5" s="582"/>
      <c r="E5" s="582"/>
      <c r="F5" s="582"/>
      <c r="G5" s="582"/>
    </row>
    <row r="6" spans="1:7">
      <c r="A6" s="582" t="s">
        <v>2239</v>
      </c>
      <c r="B6" s="582"/>
      <c r="C6" s="582"/>
      <c r="D6" s="582"/>
      <c r="E6" s="582"/>
      <c r="F6" s="582"/>
      <c r="G6" s="582"/>
    </row>
    <row r="8" spans="1:7">
      <c r="A8" s="567" t="s">
        <v>2240</v>
      </c>
      <c r="B8" s="567"/>
      <c r="C8" s="567"/>
      <c r="D8" s="567"/>
      <c r="G8" s="507" t="s">
        <v>1305</v>
      </c>
    </row>
    <row r="9" spans="1:7" ht="15.75" thickBot="1"/>
    <row r="10" spans="1:7" ht="15.75" thickBot="1">
      <c r="A10" s="774" t="s">
        <v>1316</v>
      </c>
      <c r="B10" s="775"/>
      <c r="C10" s="775"/>
      <c r="D10" s="775"/>
      <c r="E10" s="413" t="s">
        <v>2241</v>
      </c>
      <c r="F10" s="561" t="s">
        <v>2242</v>
      </c>
      <c r="G10" s="780"/>
    </row>
    <row r="11" spans="1:7">
      <c r="A11" s="776"/>
      <c r="B11" s="777"/>
      <c r="C11" s="777"/>
      <c r="D11" s="777"/>
      <c r="E11" s="414" t="s">
        <v>2243</v>
      </c>
      <c r="F11" s="414" t="s">
        <v>2244</v>
      </c>
      <c r="G11" s="418" t="s">
        <v>2245</v>
      </c>
    </row>
    <row r="12" spans="1:7" ht="15.75" thickBot="1">
      <c r="A12" s="778"/>
      <c r="B12" s="779"/>
      <c r="C12" s="779"/>
      <c r="D12" s="777"/>
      <c r="E12" s="414" t="s">
        <v>2246</v>
      </c>
      <c r="F12" s="414" t="s">
        <v>2247</v>
      </c>
      <c r="G12" s="418" t="s">
        <v>2247</v>
      </c>
    </row>
    <row r="13" spans="1:7">
      <c r="A13" s="772" t="s">
        <v>2248</v>
      </c>
      <c r="B13" s="772"/>
      <c r="C13" s="772"/>
      <c r="D13" s="773"/>
      <c r="E13" s="508" t="s">
        <v>2249</v>
      </c>
      <c r="F13" s="508" t="s">
        <v>2250</v>
      </c>
      <c r="G13" s="509" t="s">
        <v>583</v>
      </c>
    </row>
    <row r="14" spans="1:7">
      <c r="B14" s="768" t="s">
        <v>2251</v>
      </c>
      <c r="C14" s="768"/>
      <c r="D14" s="769"/>
      <c r="E14" s="510" t="s">
        <v>583</v>
      </c>
      <c r="F14" s="510" t="s">
        <v>583</v>
      </c>
      <c r="G14" s="511" t="s">
        <v>583</v>
      </c>
    </row>
    <row r="15" spans="1:7">
      <c r="B15" s="768" t="s">
        <v>2252</v>
      </c>
      <c r="C15" s="768"/>
      <c r="D15" s="769"/>
      <c r="E15" s="510" t="s">
        <v>2253</v>
      </c>
      <c r="F15" s="510" t="s">
        <v>2254</v>
      </c>
      <c r="G15" s="511" t="s">
        <v>583</v>
      </c>
    </row>
    <row r="16" spans="1:7">
      <c r="C16" s="768" t="s">
        <v>2255</v>
      </c>
      <c r="D16" s="769"/>
      <c r="E16" s="510" t="s">
        <v>583</v>
      </c>
      <c r="F16" s="510" t="s">
        <v>583</v>
      </c>
      <c r="G16" s="511" t="s">
        <v>583</v>
      </c>
    </row>
    <row r="17" spans="1:7">
      <c r="D17" s="512" t="s">
        <v>2256</v>
      </c>
      <c r="E17" s="510" t="s">
        <v>583</v>
      </c>
      <c r="F17" s="510" t="s">
        <v>583</v>
      </c>
      <c r="G17" s="511" t="s">
        <v>583</v>
      </c>
    </row>
    <row r="18" spans="1:7">
      <c r="D18" s="512" t="s">
        <v>2257</v>
      </c>
      <c r="E18" s="510" t="s">
        <v>583</v>
      </c>
      <c r="F18" s="510" t="s">
        <v>583</v>
      </c>
      <c r="G18" s="511" t="s">
        <v>583</v>
      </c>
    </row>
    <row r="19" spans="1:7">
      <c r="C19" s="768" t="s">
        <v>2258</v>
      </c>
      <c r="D19" s="769"/>
      <c r="E19" s="510" t="s">
        <v>583</v>
      </c>
      <c r="F19" s="510" t="s">
        <v>583</v>
      </c>
      <c r="G19" s="511" t="s">
        <v>583</v>
      </c>
    </row>
    <row r="20" spans="1:7">
      <c r="C20" s="768" t="s">
        <v>2259</v>
      </c>
      <c r="D20" s="769"/>
      <c r="E20" s="510" t="s">
        <v>2260</v>
      </c>
      <c r="F20" s="510" t="s">
        <v>2261</v>
      </c>
      <c r="G20" s="511" t="s">
        <v>583</v>
      </c>
    </row>
    <row r="21" spans="1:7">
      <c r="D21" s="512" t="s">
        <v>2256</v>
      </c>
      <c r="E21" s="510" t="s">
        <v>2260</v>
      </c>
      <c r="F21" s="510" t="s">
        <v>2261</v>
      </c>
      <c r="G21" s="511" t="s">
        <v>583</v>
      </c>
    </row>
    <row r="22" spans="1:7">
      <c r="D22" s="512" t="s">
        <v>2257</v>
      </c>
      <c r="E22" s="510" t="s">
        <v>583</v>
      </c>
      <c r="F22" s="510" t="s">
        <v>583</v>
      </c>
      <c r="G22" s="511" t="s">
        <v>583</v>
      </c>
    </row>
    <row r="23" spans="1:7">
      <c r="C23" s="768" t="s">
        <v>2262</v>
      </c>
      <c r="D23" s="769"/>
      <c r="E23" s="510" t="s">
        <v>2263</v>
      </c>
      <c r="F23" s="510" t="s">
        <v>2264</v>
      </c>
      <c r="G23" s="511" t="s">
        <v>583</v>
      </c>
    </row>
    <row r="24" spans="1:7">
      <c r="D24" s="512" t="s">
        <v>2265</v>
      </c>
      <c r="E24" s="510" t="s">
        <v>583</v>
      </c>
      <c r="F24" s="510" t="s">
        <v>583</v>
      </c>
      <c r="G24" s="511" t="s">
        <v>583</v>
      </c>
    </row>
    <row r="25" spans="1:7">
      <c r="D25" s="512" t="s">
        <v>2266</v>
      </c>
      <c r="E25" s="510" t="s">
        <v>2267</v>
      </c>
      <c r="F25" s="510" t="s">
        <v>2268</v>
      </c>
      <c r="G25" s="511" t="s">
        <v>583</v>
      </c>
    </row>
    <row r="26" spans="1:7">
      <c r="D26" s="512" t="s">
        <v>2269</v>
      </c>
      <c r="E26" s="510" t="s">
        <v>583</v>
      </c>
      <c r="F26" s="510" t="s">
        <v>583</v>
      </c>
      <c r="G26" s="511" t="s">
        <v>583</v>
      </c>
    </row>
    <row r="27" spans="1:7">
      <c r="D27" s="512" t="s">
        <v>2270</v>
      </c>
      <c r="E27" s="510" t="s">
        <v>583</v>
      </c>
      <c r="F27" s="510" t="s">
        <v>583</v>
      </c>
      <c r="G27" s="511" t="s">
        <v>583</v>
      </c>
    </row>
    <row r="28" spans="1:7">
      <c r="D28" s="512" t="s">
        <v>2271</v>
      </c>
      <c r="E28" s="510" t="s">
        <v>2272</v>
      </c>
      <c r="F28" s="510" t="s">
        <v>2273</v>
      </c>
      <c r="G28" s="511" t="s">
        <v>583</v>
      </c>
    </row>
    <row r="29" spans="1:7">
      <c r="C29" s="768" t="s">
        <v>2274</v>
      </c>
      <c r="D29" s="769"/>
      <c r="E29" s="510" t="s">
        <v>2275</v>
      </c>
      <c r="F29" s="510" t="s">
        <v>2276</v>
      </c>
      <c r="G29" s="511" t="s">
        <v>583</v>
      </c>
    </row>
    <row r="30" spans="1:7">
      <c r="B30" s="768" t="s">
        <v>2277</v>
      </c>
      <c r="C30" s="768"/>
      <c r="D30" s="769"/>
      <c r="E30" s="510" t="s">
        <v>2278</v>
      </c>
      <c r="F30" s="510" t="s">
        <v>2278</v>
      </c>
      <c r="G30" s="511" t="s">
        <v>583</v>
      </c>
    </row>
    <row r="31" spans="1:7">
      <c r="B31" s="768" t="s">
        <v>2279</v>
      </c>
      <c r="C31" s="768"/>
      <c r="D31" s="769"/>
      <c r="E31" s="510" t="s">
        <v>583</v>
      </c>
      <c r="F31" s="510" t="s">
        <v>583</v>
      </c>
      <c r="G31" s="511" t="s">
        <v>583</v>
      </c>
    </row>
    <row r="32" spans="1:7">
      <c r="A32" s="768" t="s">
        <v>2280</v>
      </c>
      <c r="B32" s="768"/>
      <c r="C32" s="768"/>
      <c r="D32" s="769"/>
      <c r="E32" s="510" t="s">
        <v>2281</v>
      </c>
      <c r="F32" s="510" t="s">
        <v>2282</v>
      </c>
      <c r="G32" s="511" t="s">
        <v>583</v>
      </c>
    </row>
    <row r="33" spans="1:9">
      <c r="B33" s="768" t="s">
        <v>2283</v>
      </c>
      <c r="C33" s="768"/>
      <c r="D33" s="769"/>
      <c r="E33" s="510" t="s">
        <v>583</v>
      </c>
      <c r="F33" s="510" t="s">
        <v>583</v>
      </c>
      <c r="G33" s="511" t="s">
        <v>583</v>
      </c>
    </row>
    <row r="34" spans="1:9">
      <c r="C34" s="768" t="s">
        <v>2284</v>
      </c>
      <c r="D34" s="769"/>
      <c r="E34" s="510" t="s">
        <v>2285</v>
      </c>
      <c r="F34" s="510" t="s">
        <v>2286</v>
      </c>
      <c r="G34" s="511" t="s">
        <v>583</v>
      </c>
    </row>
    <row r="35" spans="1:9">
      <c r="C35" s="768" t="s">
        <v>2287</v>
      </c>
      <c r="D35" s="769"/>
      <c r="E35" s="510" t="s">
        <v>2288</v>
      </c>
      <c r="F35" s="510" t="s">
        <v>2289</v>
      </c>
      <c r="G35" s="511" t="s">
        <v>583</v>
      </c>
    </row>
    <row r="36" spans="1:9" ht="15.75" thickBot="1">
      <c r="B36" s="768" t="s">
        <v>2290</v>
      </c>
      <c r="C36" s="768"/>
      <c r="D36" s="769"/>
      <c r="E36" s="510" t="s">
        <v>2281</v>
      </c>
      <c r="F36" s="510" t="s">
        <v>2282</v>
      </c>
      <c r="G36" s="511" t="s">
        <v>583</v>
      </c>
    </row>
    <row r="37" spans="1:9" ht="15.75" thickBot="1">
      <c r="A37" s="781" t="s">
        <v>2291</v>
      </c>
      <c r="B37" s="781"/>
      <c r="C37" s="781"/>
      <c r="D37" s="782"/>
      <c r="E37" s="513" t="s">
        <v>2292</v>
      </c>
      <c r="F37" s="513" t="s">
        <v>1319</v>
      </c>
      <c r="G37" s="514" t="s">
        <v>583</v>
      </c>
    </row>
    <row r="38" spans="1:9" ht="15.75" thickBot="1">
      <c r="A38" s="781" t="s">
        <v>2335</v>
      </c>
      <c r="B38" s="781"/>
      <c r="C38" s="781"/>
      <c r="D38" s="782"/>
      <c r="E38" s="513" t="s">
        <v>2293</v>
      </c>
      <c r="F38" s="513" t="s">
        <v>2294</v>
      </c>
      <c r="G38" s="514" t="s">
        <v>583</v>
      </c>
    </row>
    <row r="39" spans="1:9" ht="15.75" thickBot="1">
      <c r="A39" s="783" t="s">
        <v>2295</v>
      </c>
      <c r="B39" s="783"/>
      <c r="C39" s="783"/>
      <c r="D39" s="784"/>
      <c r="E39" s="508" t="s">
        <v>583</v>
      </c>
      <c r="F39" s="508" t="s">
        <v>2296</v>
      </c>
      <c r="G39" s="509" t="s">
        <v>583</v>
      </c>
    </row>
    <row r="40" spans="1:9" ht="15.75" thickBot="1">
      <c r="A40" s="783" t="s">
        <v>2297</v>
      </c>
      <c r="B40" s="783"/>
      <c r="C40" s="783"/>
      <c r="D40" s="784"/>
      <c r="E40" s="508" t="s">
        <v>2293</v>
      </c>
      <c r="F40" s="508" t="s">
        <v>2298</v>
      </c>
      <c r="G40" s="509" t="s">
        <v>583</v>
      </c>
      <c r="I40" s="427">
        <v>103790631.47</v>
      </c>
    </row>
    <row r="41" spans="1:9" ht="15.75" thickBot="1">
      <c r="A41" s="772" t="s">
        <v>2299</v>
      </c>
      <c r="B41" s="772"/>
      <c r="C41" s="772"/>
      <c r="D41" s="773"/>
      <c r="E41" s="508" t="s">
        <v>2300</v>
      </c>
      <c r="F41" s="508" t="s">
        <v>2301</v>
      </c>
      <c r="G41" s="509" t="s">
        <v>583</v>
      </c>
    </row>
    <row r="42" spans="1:9" ht="15.75" thickBot="1">
      <c r="A42" s="781" t="s">
        <v>2302</v>
      </c>
      <c r="B42" s="781"/>
      <c r="C42" s="781"/>
      <c r="D42" s="782"/>
      <c r="E42" s="513" t="s">
        <v>2303</v>
      </c>
      <c r="F42" s="513" t="s">
        <v>1320</v>
      </c>
      <c r="G42" s="514" t="s">
        <v>583</v>
      </c>
    </row>
    <row r="43" spans="1:9" ht="15.75" thickBot="1">
      <c r="A43" s="772" t="s">
        <v>2304</v>
      </c>
      <c r="B43" s="772"/>
      <c r="C43" s="772"/>
      <c r="D43" s="773"/>
      <c r="E43" s="508" t="s">
        <v>583</v>
      </c>
      <c r="F43" s="508" t="s">
        <v>583</v>
      </c>
      <c r="G43" s="509" t="s">
        <v>583</v>
      </c>
    </row>
    <row r="44" spans="1:9" ht="15.75" thickBot="1">
      <c r="A44" s="772" t="s">
        <v>2305</v>
      </c>
      <c r="B44" s="772"/>
      <c r="C44" s="772"/>
      <c r="D44" s="773"/>
      <c r="E44" s="508" t="s">
        <v>583</v>
      </c>
      <c r="F44" s="508" t="s">
        <v>583</v>
      </c>
      <c r="G44" s="509" t="s">
        <v>583</v>
      </c>
    </row>
    <row r="45" spans="1:9" ht="15.75" thickBot="1">
      <c r="A45" s="515" t="s">
        <v>1731</v>
      </c>
      <c r="B45" s="410"/>
      <c r="C45" s="410"/>
      <c r="D45" s="410"/>
      <c r="E45" s="410"/>
      <c r="F45" s="410"/>
      <c r="G45" s="410"/>
    </row>
    <row r="46" spans="1:9" ht="15.75" thickBot="1">
      <c r="A46" s="774" t="s">
        <v>2306</v>
      </c>
      <c r="B46" s="775"/>
      <c r="C46" s="775"/>
      <c r="D46" s="775"/>
      <c r="E46" s="413" t="s">
        <v>2241</v>
      </c>
      <c r="F46" s="561" t="s">
        <v>2242</v>
      </c>
      <c r="G46" s="780"/>
    </row>
    <row r="47" spans="1:9">
      <c r="A47" s="776"/>
      <c r="B47" s="777"/>
      <c r="C47" s="777"/>
      <c r="D47" s="777"/>
      <c r="E47" s="414" t="s">
        <v>2243</v>
      </c>
      <c r="F47" s="414" t="s">
        <v>2244</v>
      </c>
      <c r="G47" s="418" t="s">
        <v>2245</v>
      </c>
    </row>
    <row r="48" spans="1:9" ht="15.75" thickBot="1">
      <c r="A48" s="778"/>
      <c r="B48" s="779"/>
      <c r="C48" s="779"/>
      <c r="D48" s="777"/>
      <c r="E48" s="414" t="s">
        <v>2246</v>
      </c>
      <c r="F48" s="414" t="s">
        <v>2247</v>
      </c>
      <c r="G48" s="418" t="s">
        <v>2247</v>
      </c>
    </row>
    <row r="49" spans="1:7">
      <c r="A49" s="772" t="s">
        <v>2307</v>
      </c>
      <c r="B49" s="772"/>
      <c r="C49" s="772"/>
      <c r="D49" s="773"/>
      <c r="E49" s="508" t="s">
        <v>583</v>
      </c>
      <c r="F49" s="508" t="s">
        <v>583</v>
      </c>
      <c r="G49" s="509" t="s">
        <v>583</v>
      </c>
    </row>
    <row r="50" spans="1:7">
      <c r="A50" s="768" t="s">
        <v>2308</v>
      </c>
      <c r="B50" s="768"/>
      <c r="C50" s="768"/>
      <c r="D50" s="769"/>
      <c r="E50" s="510" t="s">
        <v>2309</v>
      </c>
      <c r="F50" s="510" t="s">
        <v>2310</v>
      </c>
      <c r="G50" s="511" t="s">
        <v>583</v>
      </c>
    </row>
    <row r="51" spans="1:7">
      <c r="A51" s="768" t="s">
        <v>2311</v>
      </c>
      <c r="B51" s="768"/>
      <c r="C51" s="768"/>
      <c r="D51" s="769"/>
      <c r="E51" s="510" t="s">
        <v>2312</v>
      </c>
      <c r="F51" s="510" t="s">
        <v>2313</v>
      </c>
      <c r="G51" s="511" t="s">
        <v>583</v>
      </c>
    </row>
    <row r="52" spans="1:7">
      <c r="A52" s="768" t="s">
        <v>2314</v>
      </c>
      <c r="B52" s="768"/>
      <c r="C52" s="768"/>
      <c r="D52" s="769"/>
      <c r="E52" s="510" t="s">
        <v>2315</v>
      </c>
      <c r="F52" s="510" t="s">
        <v>2316</v>
      </c>
      <c r="G52" s="511" t="s">
        <v>583</v>
      </c>
    </row>
    <row r="53" spans="1:7">
      <c r="A53" s="768" t="s">
        <v>2317</v>
      </c>
      <c r="B53" s="768"/>
      <c r="C53" s="768"/>
      <c r="D53" s="769"/>
      <c r="E53" s="510" t="s">
        <v>2318</v>
      </c>
      <c r="F53" s="510" t="s">
        <v>2319</v>
      </c>
      <c r="G53" s="511" t="s">
        <v>583</v>
      </c>
    </row>
    <row r="54" spans="1:7">
      <c r="A54" s="768" t="s">
        <v>2320</v>
      </c>
      <c r="B54" s="768"/>
      <c r="C54" s="768"/>
      <c r="D54" s="769"/>
      <c r="E54" s="510" t="s">
        <v>2321</v>
      </c>
      <c r="F54" s="510" t="s">
        <v>2322</v>
      </c>
      <c r="G54" s="511" t="s">
        <v>583</v>
      </c>
    </row>
    <row r="55" spans="1:7">
      <c r="A55" s="768" t="s">
        <v>2323</v>
      </c>
      <c r="B55" s="768"/>
      <c r="C55" s="768"/>
      <c r="D55" s="769"/>
      <c r="E55" s="510" t="s">
        <v>583</v>
      </c>
      <c r="F55" s="510" t="s">
        <v>583</v>
      </c>
      <c r="G55" s="511" t="s">
        <v>583</v>
      </c>
    </row>
    <row r="56" spans="1:7">
      <c r="A56" s="768" t="s">
        <v>2324</v>
      </c>
      <c r="B56" s="768"/>
      <c r="C56" s="768"/>
      <c r="D56" s="769"/>
      <c r="E56" s="510" t="s">
        <v>583</v>
      </c>
      <c r="F56" s="510" t="s">
        <v>583</v>
      </c>
      <c r="G56" s="511" t="s">
        <v>583</v>
      </c>
    </row>
    <row r="57" spans="1:7" ht="15.75" thickBot="1">
      <c r="A57" s="770" t="s">
        <v>2325</v>
      </c>
      <c r="B57" s="770"/>
      <c r="C57" s="770"/>
      <c r="D57" s="771"/>
      <c r="E57" s="516" t="s">
        <v>2326</v>
      </c>
      <c r="F57" s="516" t="s">
        <v>2326</v>
      </c>
      <c r="G57" s="517" t="s">
        <v>583</v>
      </c>
    </row>
    <row r="58" spans="1:7">
      <c r="A58" s="767" t="s">
        <v>2327</v>
      </c>
      <c r="B58" s="767"/>
      <c r="C58" s="767"/>
      <c r="D58" s="767"/>
      <c r="E58" s="767"/>
      <c r="F58" s="767"/>
      <c r="G58" s="767"/>
    </row>
    <row r="59" spans="1:7">
      <c r="A59" s="567" t="s">
        <v>2328</v>
      </c>
      <c r="B59" s="567"/>
      <c r="C59" s="567"/>
      <c r="D59" s="567"/>
      <c r="E59" s="567"/>
      <c r="F59" s="567"/>
      <c r="G59" s="567"/>
    </row>
    <row r="60" spans="1:7">
      <c r="A60" s="567" t="s">
        <v>2329</v>
      </c>
      <c r="B60" s="567"/>
      <c r="C60" s="567"/>
      <c r="D60" s="567"/>
      <c r="E60" s="567"/>
      <c r="F60" s="567"/>
      <c r="G60" s="567"/>
    </row>
    <row r="61" spans="1:7">
      <c r="A61" s="567" t="s">
        <v>2330</v>
      </c>
      <c r="B61" s="567"/>
      <c r="C61" s="567"/>
      <c r="D61" s="567"/>
      <c r="E61" s="567"/>
      <c r="F61" s="567"/>
      <c r="G61" s="567"/>
    </row>
    <row r="62" spans="1:7">
      <c r="A62" s="567" t="s">
        <v>2331</v>
      </c>
      <c r="B62" s="567"/>
      <c r="C62" s="567"/>
      <c r="D62" s="567"/>
      <c r="E62" s="567"/>
      <c r="F62" s="567"/>
      <c r="G62" s="567"/>
    </row>
    <row r="63" spans="1:7">
      <c r="A63" s="567" t="s">
        <v>2332</v>
      </c>
      <c r="B63" s="567"/>
      <c r="C63" s="567"/>
      <c r="D63" s="567"/>
      <c r="E63" s="567"/>
      <c r="F63" s="567"/>
      <c r="G63" s="567"/>
    </row>
    <row r="64" spans="1:7">
      <c r="A64" s="567" t="s">
        <v>2333</v>
      </c>
      <c r="B64" s="567"/>
      <c r="C64" s="567"/>
      <c r="D64" s="567"/>
      <c r="E64" s="567"/>
      <c r="F64" s="567"/>
      <c r="G64" s="567"/>
    </row>
    <row r="65" spans="1:1">
      <c r="A65" t="s">
        <v>2334</v>
      </c>
    </row>
    <row r="65536" spans="256:256" ht="15" customHeight="1">
      <c r="IV65536" s="426"/>
    </row>
  </sheetData>
  <mergeCells count="49">
    <mergeCell ref="A8:D8"/>
    <mergeCell ref="A2:G2"/>
    <mergeCell ref="A3:G3"/>
    <mergeCell ref="A4:G4"/>
    <mergeCell ref="A5:G5"/>
    <mergeCell ref="A6:G6"/>
    <mergeCell ref="B31:D31"/>
    <mergeCell ref="A10:D12"/>
    <mergeCell ref="F10:G10"/>
    <mergeCell ref="A13:D13"/>
    <mergeCell ref="B14:D14"/>
    <mergeCell ref="B15:D15"/>
    <mergeCell ref="C16:D16"/>
    <mergeCell ref="C19:D19"/>
    <mergeCell ref="C20:D20"/>
    <mergeCell ref="C23:D23"/>
    <mergeCell ref="C29:D29"/>
    <mergeCell ref="B30:D30"/>
    <mergeCell ref="A43:D43"/>
    <mergeCell ref="A32:D32"/>
    <mergeCell ref="B33:D33"/>
    <mergeCell ref="C34:D34"/>
    <mergeCell ref="C35:D35"/>
    <mergeCell ref="B36:D36"/>
    <mergeCell ref="A37:D37"/>
    <mergeCell ref="A38:D38"/>
    <mergeCell ref="A39:D39"/>
    <mergeCell ref="A40:D40"/>
    <mergeCell ref="A41:D41"/>
    <mergeCell ref="A42:D42"/>
    <mergeCell ref="A57:D57"/>
    <mergeCell ref="A44:D44"/>
    <mergeCell ref="A46:D48"/>
    <mergeCell ref="F46:G46"/>
    <mergeCell ref="A49:D49"/>
    <mergeCell ref="A50:D50"/>
    <mergeCell ref="A51:D51"/>
    <mergeCell ref="A52:D52"/>
    <mergeCell ref="A53:D53"/>
    <mergeCell ref="A54:D54"/>
    <mergeCell ref="A55:D55"/>
    <mergeCell ref="A56:D56"/>
    <mergeCell ref="A64:G64"/>
    <mergeCell ref="A58:G58"/>
    <mergeCell ref="A59:G59"/>
    <mergeCell ref="A60:G60"/>
    <mergeCell ref="A61:G61"/>
    <mergeCell ref="A62:G62"/>
    <mergeCell ref="A63:G63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U45"/>
  <sheetViews>
    <sheetView topLeftCell="A10" zoomScale="130" zoomScaleNormal="130" workbookViewId="0">
      <selection activeCell="C38" sqref="C38"/>
    </sheetView>
  </sheetViews>
  <sheetFormatPr defaultRowHeight="11.25"/>
  <cols>
    <col min="1" max="1" width="49.42578125" style="1" bestFit="1" customWidth="1"/>
    <col min="2" max="2" width="10.5703125" style="1" customWidth="1"/>
    <col min="3" max="3" width="12.28515625" style="1" bestFit="1" customWidth="1"/>
    <col min="4" max="5" width="11.42578125" style="1" bestFit="1" customWidth="1"/>
    <col min="6" max="6" width="10.5703125" style="1" bestFit="1" customWidth="1"/>
    <col min="7" max="8" width="11.42578125" style="1" bestFit="1" customWidth="1"/>
    <col min="9" max="10" width="10.5703125" style="1" bestFit="1" customWidth="1"/>
    <col min="11" max="11" width="11.42578125" style="1" bestFit="1" customWidth="1"/>
    <col min="12" max="12" width="10.5703125" style="1" bestFit="1" customWidth="1"/>
    <col min="13" max="13" width="11.42578125" style="1" bestFit="1" customWidth="1"/>
    <col min="14" max="14" width="10.5703125" style="1" bestFit="1" customWidth="1"/>
    <col min="15" max="15" width="11.42578125" style="1" bestFit="1" customWidth="1"/>
    <col min="16" max="16384" width="9.140625" style="1"/>
  </cols>
  <sheetData>
    <row r="1" spans="1:21">
      <c r="B1" s="2" t="s">
        <v>1</v>
      </c>
      <c r="E1" s="2" t="s">
        <v>548</v>
      </c>
      <c r="H1" s="72" t="s">
        <v>537</v>
      </c>
      <c r="I1" s="2" t="s">
        <v>1</v>
      </c>
      <c r="M1" s="2" t="s">
        <v>548</v>
      </c>
      <c r="U1" s="72" t="s">
        <v>538</v>
      </c>
    </row>
    <row r="2" spans="1:21">
      <c r="A2" s="11"/>
      <c r="B2" s="6"/>
      <c r="C2" s="785" t="s">
        <v>12</v>
      </c>
      <c r="D2" s="343">
        <v>44348</v>
      </c>
      <c r="E2" s="343">
        <v>44317</v>
      </c>
      <c r="F2" s="343">
        <v>44287</v>
      </c>
      <c r="G2" s="45">
        <v>44256</v>
      </c>
      <c r="H2" s="47">
        <v>44228</v>
      </c>
      <c r="I2" s="45">
        <v>44197</v>
      </c>
      <c r="J2" s="47">
        <v>44166</v>
      </c>
      <c r="K2" s="45">
        <v>44136</v>
      </c>
      <c r="L2" s="47">
        <v>44105</v>
      </c>
      <c r="M2" s="45">
        <v>44075</v>
      </c>
      <c r="N2" s="47">
        <v>44044</v>
      </c>
      <c r="O2" s="343">
        <v>44013</v>
      </c>
    </row>
    <row r="3" spans="1:21">
      <c r="A3" s="12" t="s">
        <v>0</v>
      </c>
      <c r="B3" s="8"/>
      <c r="C3" s="786"/>
      <c r="D3" s="344" t="s">
        <v>42</v>
      </c>
      <c r="E3" s="46" t="s">
        <v>43</v>
      </c>
      <c r="F3" s="44" t="s">
        <v>44</v>
      </c>
      <c r="G3" s="46" t="s">
        <v>493</v>
      </c>
      <c r="H3" s="44" t="s">
        <v>494</v>
      </c>
      <c r="I3" s="46" t="s">
        <v>495</v>
      </c>
      <c r="J3" s="44" t="s">
        <v>496</v>
      </c>
      <c r="K3" s="46" t="s">
        <v>497</v>
      </c>
      <c r="L3" s="44" t="s">
        <v>498</v>
      </c>
      <c r="M3" s="46" t="s">
        <v>499</v>
      </c>
      <c r="N3" s="44" t="s">
        <v>500</v>
      </c>
      <c r="O3" s="46" t="s">
        <v>501</v>
      </c>
    </row>
    <row r="4" spans="1:21">
      <c r="A4" s="9" t="s">
        <v>48</v>
      </c>
      <c r="B4" s="14" t="s">
        <v>49</v>
      </c>
      <c r="C4" s="13">
        <f>SUM(D4:O4)</f>
        <v>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1">
      <c r="A5" s="5" t="s">
        <v>2</v>
      </c>
      <c r="B5" s="5"/>
      <c r="C5" s="13">
        <f t="shared" ref="C5:C36" si="0">SUM(D5:O5)</f>
        <v>115193666.81999999</v>
      </c>
      <c r="D5" s="65">
        <f>D6-D7</f>
        <v>8870336.4799999986</v>
      </c>
      <c r="E5" s="65">
        <f>E6-E7</f>
        <v>9932379.9400000013</v>
      </c>
      <c r="F5" s="65">
        <f>F6-F7</f>
        <v>9629502.4100000001</v>
      </c>
      <c r="G5" s="65">
        <f t="shared" ref="G5:O5" si="1">G6-G7</f>
        <v>9014518.75</v>
      </c>
      <c r="H5" s="65">
        <f t="shared" si="1"/>
        <v>8766516.5800000001</v>
      </c>
      <c r="I5" s="65">
        <f t="shared" si="1"/>
        <v>10099075.539999999</v>
      </c>
      <c r="J5" s="65">
        <f t="shared" si="1"/>
        <v>13680360.27</v>
      </c>
      <c r="K5" s="65">
        <f t="shared" si="1"/>
        <v>8375628.620000001</v>
      </c>
      <c r="L5" s="65">
        <f t="shared" si="1"/>
        <v>8541121.0199999996</v>
      </c>
      <c r="M5" s="65">
        <f t="shared" si="1"/>
        <v>9314623.8300000001</v>
      </c>
      <c r="N5" s="65">
        <f t="shared" si="1"/>
        <v>8902093.6600000001</v>
      </c>
      <c r="O5" s="65">
        <f t="shared" si="1"/>
        <v>10067509.719999999</v>
      </c>
    </row>
    <row r="6" spans="1:21">
      <c r="A6" s="5" t="s">
        <v>3</v>
      </c>
      <c r="B6" s="10" t="s">
        <v>50</v>
      </c>
      <c r="C6" s="13">
        <f t="shared" si="0"/>
        <v>128304336.32000001</v>
      </c>
      <c r="D6" s="65">
        <f>9968466.03</f>
        <v>9968466.0299999993</v>
      </c>
      <c r="E6" s="65">
        <v>11100660.310000001</v>
      </c>
      <c r="F6" s="65">
        <f>10680236.85</f>
        <v>10680236.85</v>
      </c>
      <c r="G6" s="65">
        <v>10150953.99</v>
      </c>
      <c r="H6" s="65">
        <f>9916523.05</f>
        <v>9916523.0500000007</v>
      </c>
      <c r="I6" s="65">
        <f>11591995.86</f>
        <v>11591995.859999999</v>
      </c>
      <c r="J6" s="65">
        <f>15002415.79</f>
        <v>15002415.789999999</v>
      </c>
      <c r="K6" s="65">
        <f>9384652.81</f>
        <v>9384652.8100000005</v>
      </c>
      <c r="L6" s="65">
        <f>9577007.09</f>
        <v>9577007.0899999999</v>
      </c>
      <c r="M6" s="65">
        <f>10323528.53</f>
        <v>10323528.529999999</v>
      </c>
      <c r="N6" s="65">
        <v>9864509.4800000004</v>
      </c>
      <c r="O6" s="65">
        <f>10743386.53</f>
        <v>10743386.529999999</v>
      </c>
    </row>
    <row r="7" spans="1:21">
      <c r="A7" s="5" t="s">
        <v>4</v>
      </c>
      <c r="B7" s="10" t="s">
        <v>51</v>
      </c>
      <c r="C7" s="13">
        <f t="shared" si="0"/>
        <v>13110669.5</v>
      </c>
      <c r="D7" s="345">
        <f>1098129.55</f>
        <v>1098129.55</v>
      </c>
      <c r="E7" s="345">
        <f>1168280.37</f>
        <v>1168280.3700000001</v>
      </c>
      <c r="F7" s="345">
        <v>1050734.44</v>
      </c>
      <c r="G7" s="345">
        <v>1136435.24</v>
      </c>
      <c r="H7" s="345">
        <v>1150006.47</v>
      </c>
      <c r="I7" s="345">
        <v>1492920.3200000001</v>
      </c>
      <c r="J7" s="345">
        <v>1322055.52</v>
      </c>
      <c r="K7" s="345">
        <v>1009024.19</v>
      </c>
      <c r="L7" s="345">
        <v>1035886.07</v>
      </c>
      <c r="M7" s="345">
        <v>1008904.7</v>
      </c>
      <c r="N7" s="345">
        <v>962415.82</v>
      </c>
      <c r="O7" s="345">
        <v>675876.81</v>
      </c>
    </row>
    <row r="8" spans="1:21" s="2" customFormat="1">
      <c r="A8" s="9" t="s">
        <v>5</v>
      </c>
      <c r="B8" s="15"/>
      <c r="C8" s="16">
        <f>SUM(D8:O8)</f>
        <v>11203035.35</v>
      </c>
      <c r="D8" s="16">
        <f>SUM(D9:D30)</f>
        <v>698021.14999999991</v>
      </c>
      <c r="E8" s="16">
        <f>SUM(E9:E30)</f>
        <v>853276.06</v>
      </c>
      <c r="F8" s="16">
        <f>SUM(F9:F30)</f>
        <v>953538.44</v>
      </c>
      <c r="G8" s="16">
        <f t="shared" ref="G8:O8" si="2">SUM(G9:G30)</f>
        <v>694792.86999999988</v>
      </c>
      <c r="H8" s="16">
        <f t="shared" si="2"/>
        <v>654440.6</v>
      </c>
      <c r="I8" s="16">
        <f t="shared" si="2"/>
        <v>656940.72</v>
      </c>
      <c r="J8" s="16">
        <f t="shared" si="2"/>
        <v>2256707.36</v>
      </c>
      <c r="K8" s="16">
        <f t="shared" si="2"/>
        <v>1092407.8099999998</v>
      </c>
      <c r="L8" s="16">
        <f t="shared" si="2"/>
        <v>794644.6399999999</v>
      </c>
      <c r="M8" s="16">
        <f t="shared" si="2"/>
        <v>619785.41999999993</v>
      </c>
      <c r="N8" s="16">
        <f t="shared" si="2"/>
        <v>633077.13</v>
      </c>
      <c r="O8" s="16">
        <f t="shared" si="2"/>
        <v>1295403.1499999999</v>
      </c>
    </row>
    <row r="9" spans="1:21" s="2" customFormat="1">
      <c r="A9" s="367" t="s">
        <v>528</v>
      </c>
      <c r="B9" s="10" t="s">
        <v>530</v>
      </c>
      <c r="C9" s="13">
        <f t="shared" si="0"/>
        <v>1289286.0900000001</v>
      </c>
      <c r="D9" s="65"/>
      <c r="E9" s="65"/>
      <c r="F9" s="65"/>
      <c r="G9" s="65"/>
      <c r="H9" s="65"/>
      <c r="I9" s="65"/>
      <c r="J9" s="65">
        <v>352766.44</v>
      </c>
      <c r="K9" s="65">
        <v>183242.93</v>
      </c>
      <c r="L9" s="65">
        <f>189347.68</f>
        <v>189347.68</v>
      </c>
      <c r="M9" s="65">
        <v>186650.12</v>
      </c>
      <c r="N9" s="65">
        <f>187741.33</f>
        <v>187741.33</v>
      </c>
      <c r="O9" s="65">
        <f>189537.59</f>
        <v>189537.59</v>
      </c>
    </row>
    <row r="10" spans="1:21" s="2" customFormat="1">
      <c r="A10" s="367" t="s">
        <v>529</v>
      </c>
      <c r="B10" s="10" t="s">
        <v>531</v>
      </c>
      <c r="C10" s="13">
        <f>SUM(D10:O10)</f>
        <v>133998.17000000001</v>
      </c>
      <c r="D10" s="65"/>
      <c r="E10" s="65"/>
      <c r="F10" s="65"/>
      <c r="G10" s="65"/>
      <c r="H10" s="65"/>
      <c r="I10" s="65"/>
      <c r="J10" s="65">
        <v>43092.75</v>
      </c>
      <c r="K10" s="65">
        <v>14989.16</v>
      </c>
      <c r="L10" s="65">
        <f>15309.8</f>
        <v>15309.8</v>
      </c>
      <c r="M10" s="65">
        <v>14773.34</v>
      </c>
      <c r="N10" s="65">
        <f>15356.85</f>
        <v>15356.85</v>
      </c>
      <c r="O10" s="65">
        <f>30476.27</f>
        <v>30476.27</v>
      </c>
    </row>
    <row r="11" spans="1:21">
      <c r="A11" s="7" t="s">
        <v>6</v>
      </c>
      <c r="B11" s="368"/>
      <c r="C11" s="369"/>
      <c r="D11" s="369"/>
      <c r="E11" s="369"/>
      <c r="F11" s="369"/>
      <c r="G11" s="369"/>
      <c r="H11" s="369"/>
      <c r="I11" s="369"/>
      <c r="J11" s="369"/>
      <c r="K11" s="369"/>
      <c r="L11" s="369"/>
      <c r="M11" s="369"/>
      <c r="N11" s="369"/>
      <c r="O11" s="369"/>
    </row>
    <row r="12" spans="1:21" s="2" customFormat="1">
      <c r="A12" s="9" t="s">
        <v>7</v>
      </c>
      <c r="B12" s="33" t="s">
        <v>34</v>
      </c>
      <c r="C12" s="348"/>
      <c r="D12" s="348"/>
      <c r="E12" s="348"/>
      <c r="F12" s="348"/>
      <c r="G12" s="348"/>
      <c r="H12" s="348"/>
      <c r="I12" s="348"/>
      <c r="J12" s="348"/>
      <c r="K12" s="348"/>
      <c r="L12" s="348"/>
      <c r="M12" s="348"/>
      <c r="N12" s="348"/>
      <c r="O12" s="348"/>
    </row>
    <row r="13" spans="1:21" s="2" customFormat="1">
      <c r="A13" s="5" t="s">
        <v>506</v>
      </c>
      <c r="B13" s="10" t="s">
        <v>507</v>
      </c>
      <c r="C13" s="13">
        <f t="shared" si="0"/>
        <v>4675439.0399999991</v>
      </c>
      <c r="D13" s="347">
        <f>298472.38+5398.89+88625.3</f>
        <v>392496.57</v>
      </c>
      <c r="E13" s="347">
        <f>298361.17+88371.47+5398.89</f>
        <v>392131.53</v>
      </c>
      <c r="F13" s="347">
        <f>313926.32+96754.49+6252.66</f>
        <v>416933.47</v>
      </c>
      <c r="G13" s="347">
        <f>318012.38+94784+6494.53</f>
        <v>419290.91000000003</v>
      </c>
      <c r="H13" s="347">
        <f>307814.79+84619.56+4732.59</f>
        <v>397166.94</v>
      </c>
      <c r="I13" s="347">
        <f>302663.53+89412.23+5381.31</f>
        <v>397457.07</v>
      </c>
      <c r="J13" s="347">
        <f>628085.06+173817.83+10572.17</f>
        <v>812475.06</v>
      </c>
      <c r="K13" s="347">
        <f>282880.52+1399.1+391.41</f>
        <v>284671.02999999997</v>
      </c>
      <c r="L13" s="347">
        <f>286728.19+1399.1+391.41</f>
        <v>288518.69999999995</v>
      </c>
      <c r="M13" s="347">
        <f>288423.7+987.22+391.41</f>
        <v>289802.32999999996</v>
      </c>
      <c r="N13" s="347">
        <f>288915.03+987.22+391.41</f>
        <v>290293.65999999997</v>
      </c>
      <c r="O13" s="347">
        <f>292823.14+987.22+391.41</f>
        <v>294201.76999999996</v>
      </c>
    </row>
    <row r="14" spans="1:21" s="2" customFormat="1">
      <c r="A14" s="5" t="s">
        <v>508</v>
      </c>
      <c r="B14" s="10" t="s">
        <v>509</v>
      </c>
      <c r="C14" s="346">
        <f t="shared" si="0"/>
        <v>1586132.7199999997</v>
      </c>
      <c r="D14" s="65">
        <f>80247.08+53261.04</f>
        <v>133508.12</v>
      </c>
      <c r="E14" s="65">
        <f>79557.62+53143.65</f>
        <v>132701.26999999999</v>
      </c>
      <c r="F14" s="65">
        <f>81236.98+55047.24</f>
        <v>136284.22</v>
      </c>
      <c r="G14" s="65">
        <f>79585.02+54161.84</f>
        <v>133746.85999999999</v>
      </c>
      <c r="H14" s="65">
        <f>77926.13+51030.99</f>
        <v>128957.12</v>
      </c>
      <c r="I14" s="65">
        <f>90346.65+50949.34</f>
        <v>141295.99</v>
      </c>
      <c r="J14" s="65">
        <f>79963.94+50813.43</f>
        <v>130777.37</v>
      </c>
      <c r="K14" s="65">
        <f>77968.47+50840.92</f>
        <v>128809.39</v>
      </c>
      <c r="L14" s="65">
        <f>78502.35+50588.55</f>
        <v>129090.90000000001</v>
      </c>
      <c r="M14" s="65">
        <f>80515.09+49913.41</f>
        <v>130428.5</v>
      </c>
      <c r="N14" s="65">
        <f>80079.52+49775.11</f>
        <v>129854.63</v>
      </c>
      <c r="O14" s="65">
        <f>81056.9+49621.45</f>
        <v>130678.34999999999</v>
      </c>
    </row>
    <row r="15" spans="1:21">
      <c r="A15" s="5" t="s">
        <v>8</v>
      </c>
      <c r="B15" s="10"/>
      <c r="C15" s="346">
        <f t="shared" si="0"/>
        <v>0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</row>
    <row r="16" spans="1:21">
      <c r="A16" s="10" t="s">
        <v>9</v>
      </c>
      <c r="B16" s="10" t="s">
        <v>504</v>
      </c>
      <c r="C16" s="13">
        <f t="shared" si="0"/>
        <v>434036.10999999993</v>
      </c>
      <c r="D16" s="65">
        <v>41374.67</v>
      </c>
      <c r="E16" s="65">
        <f>41257.47</f>
        <v>41257.47</v>
      </c>
      <c r="F16" s="65">
        <v>41167.85</v>
      </c>
      <c r="G16" s="65">
        <v>41167.85</v>
      </c>
      <c r="H16" s="65"/>
      <c r="I16" s="65"/>
      <c r="J16" s="65">
        <v>84754.98</v>
      </c>
      <c r="K16" s="65">
        <f>42377.49</f>
        <v>42377.49</v>
      </c>
      <c r="L16" s="65">
        <f>42377.49</f>
        <v>42377.49</v>
      </c>
      <c r="M16" s="65">
        <f>42377.49</f>
        <v>42377.49</v>
      </c>
      <c r="N16" s="65">
        <f>14316.72</f>
        <v>14316.72</v>
      </c>
      <c r="O16" s="65">
        <v>42864.1</v>
      </c>
    </row>
    <row r="17" spans="1:15">
      <c r="A17" s="5" t="s">
        <v>10</v>
      </c>
      <c r="B17" s="10"/>
      <c r="C17" s="13">
        <f t="shared" si="0"/>
        <v>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>
      <c r="A18" s="5" t="s">
        <v>11</v>
      </c>
      <c r="B18" s="10" t="s">
        <v>35</v>
      </c>
      <c r="C18" s="346">
        <f t="shared" si="0"/>
        <v>1702624.02</v>
      </c>
      <c r="D18" s="65">
        <f>48213.11-50509.62</f>
        <v>-2296.510000000002</v>
      </c>
      <c r="E18" s="65">
        <f>196118.17-25818.29</f>
        <v>170299.88</v>
      </c>
      <c r="F18" s="65">
        <f>248546.13-11575.91</f>
        <v>236970.22</v>
      </c>
      <c r="G18" s="65">
        <f>70335.98-81867.41</f>
        <v>-11531.430000000008</v>
      </c>
      <c r="H18" s="65">
        <f>7644.48</f>
        <v>7644.48</v>
      </c>
      <c r="I18" s="65">
        <f>21390.5-13008.99</f>
        <v>8381.51</v>
      </c>
      <c r="J18" s="65">
        <v>693735.59</v>
      </c>
      <c r="K18" s="65">
        <f>342515.73</f>
        <v>342515.73</v>
      </c>
      <c r="L18" s="65">
        <f>47070.51-20621.03</f>
        <v>26449.480000000003</v>
      </c>
      <c r="M18" s="65">
        <f>14354.66-166497.39</f>
        <v>-152142.73000000001</v>
      </c>
      <c r="N18" s="65">
        <f>70689.02-179085.33</f>
        <v>-108396.30999999998</v>
      </c>
      <c r="O18" s="65">
        <v>490994.11</v>
      </c>
    </row>
    <row r="19" spans="1:15">
      <c r="A19" s="5" t="s">
        <v>1290</v>
      </c>
      <c r="B19" s="10" t="s">
        <v>36</v>
      </c>
      <c r="C19" s="346">
        <f t="shared" si="0"/>
        <v>19428.88</v>
      </c>
      <c r="D19" s="65">
        <v>1981.34</v>
      </c>
      <c r="E19" s="65">
        <v>1981.34</v>
      </c>
      <c r="F19" s="65">
        <f>1981.34</f>
        <v>1981.34</v>
      </c>
      <c r="G19" s="65">
        <f>1981.34</f>
        <v>1981.34</v>
      </c>
      <c r="H19" s="65">
        <v>1437.94</v>
      </c>
      <c r="I19" s="65">
        <v>1437.94</v>
      </c>
      <c r="J19" s="65">
        <f>1437.94</f>
        <v>1437.94</v>
      </c>
      <c r="K19" s="65">
        <v>1437.94</v>
      </c>
      <c r="L19" s="65">
        <f>1437.94</f>
        <v>1437.94</v>
      </c>
      <c r="M19" s="65">
        <v>2875.88</v>
      </c>
      <c r="N19" s="65"/>
      <c r="O19" s="65">
        <v>1437.94</v>
      </c>
    </row>
    <row r="20" spans="1:15">
      <c r="A20" s="5" t="s">
        <v>14</v>
      </c>
      <c r="B20" s="10" t="s">
        <v>502</v>
      </c>
      <c r="C20" s="13">
        <f t="shared" si="0"/>
        <v>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10" t="s">
        <v>15</v>
      </c>
      <c r="B21" s="10" t="s">
        <v>505</v>
      </c>
      <c r="C21" s="346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1:15">
      <c r="A22" s="5" t="s">
        <v>16</v>
      </c>
      <c r="B22" s="10" t="s">
        <v>37</v>
      </c>
      <c r="C22" s="13">
        <f t="shared" si="0"/>
        <v>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5" t="s">
        <v>17</v>
      </c>
      <c r="B23" s="10"/>
      <c r="C23" s="13">
        <f t="shared" si="0"/>
        <v>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10" t="s">
        <v>18</v>
      </c>
      <c r="B24" s="10" t="s">
        <v>503</v>
      </c>
      <c r="C24" s="346">
        <f t="shared" si="0"/>
        <v>20565.789999999997</v>
      </c>
      <c r="D24" s="65">
        <f>3681.13</f>
        <v>3681.13</v>
      </c>
      <c r="E24" s="65">
        <f>2624.65</f>
        <v>2624.65</v>
      </c>
      <c r="F24" s="65">
        <f>390.81</f>
        <v>390.81</v>
      </c>
      <c r="G24" s="65">
        <v>1595.84</v>
      </c>
      <c r="H24" s="65">
        <v>1427.22</v>
      </c>
      <c r="I24" s="65">
        <f>1444.23</f>
        <v>1444.23</v>
      </c>
      <c r="J24" s="65">
        <v>1446.92</v>
      </c>
      <c r="K24" s="65">
        <v>1444.86</v>
      </c>
      <c r="L24" s="65">
        <v>1444.86</v>
      </c>
      <c r="M24" s="65">
        <f>1483.26</f>
        <v>1483.26</v>
      </c>
      <c r="N24" s="65">
        <v>1537.17</v>
      </c>
      <c r="O24" s="65">
        <v>2044.84</v>
      </c>
    </row>
    <row r="25" spans="1:15">
      <c r="A25" s="5" t="s">
        <v>19</v>
      </c>
      <c r="B25" s="10" t="s">
        <v>38</v>
      </c>
      <c r="C25" s="346">
        <f t="shared" si="0"/>
        <v>1341524.53</v>
      </c>
      <c r="D25" s="118">
        <f>127275.83</f>
        <v>127275.83</v>
      </c>
      <c r="E25" s="118">
        <f>112279.92</f>
        <v>112279.92</v>
      </c>
      <c r="F25" s="118">
        <f>119852.53-42</f>
        <v>119810.53</v>
      </c>
      <c r="G25" s="118">
        <f>108541.5</f>
        <v>108541.5</v>
      </c>
      <c r="H25" s="118">
        <f>119962.13-2155.23</f>
        <v>117806.90000000001</v>
      </c>
      <c r="I25" s="118">
        <f>107183.73-259.75</f>
        <v>106923.98</v>
      </c>
      <c r="J25" s="118">
        <v>136220.31</v>
      </c>
      <c r="K25" s="118">
        <f>93159.28-240</f>
        <v>92919.28</v>
      </c>
      <c r="L25" s="118">
        <f>100767.09-99.3</f>
        <v>100667.79</v>
      </c>
      <c r="M25" s="118">
        <f>103537.23</f>
        <v>103537.23</v>
      </c>
      <c r="N25" s="118">
        <f>102373.08</f>
        <v>102373.08</v>
      </c>
      <c r="O25" s="118">
        <f>113770-601.82</f>
        <v>113168.18</v>
      </c>
    </row>
    <row r="26" spans="1:15">
      <c r="A26" s="5" t="s">
        <v>20</v>
      </c>
      <c r="B26" s="10"/>
      <c r="C26" s="13">
        <f t="shared" si="0"/>
        <v>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5" t="s">
        <v>21</v>
      </c>
      <c r="B27" s="10" t="s">
        <v>39</v>
      </c>
      <c r="C27" s="13">
        <f t="shared" si="0"/>
        <v>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5" t="s">
        <v>22</v>
      </c>
      <c r="B28" s="10" t="s">
        <v>41</v>
      </c>
      <c r="C28" s="13">
        <f t="shared" si="0"/>
        <v>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 t="s">
        <v>23</v>
      </c>
      <c r="B29" s="10" t="s">
        <v>40</v>
      </c>
      <c r="C29" s="13">
        <f t="shared" si="0"/>
        <v>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 t="s">
        <v>24</v>
      </c>
      <c r="B30" s="10"/>
      <c r="C30" s="13">
        <f t="shared" si="0"/>
        <v>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s="2" customFormat="1">
      <c r="A31" s="9" t="s">
        <v>25</v>
      </c>
      <c r="B31" s="15"/>
      <c r="C31" s="16">
        <f>SUM(D31:O31)</f>
        <v>103990631.47</v>
      </c>
      <c r="D31" s="17">
        <f>D5-D8</f>
        <v>8172315.3299999982</v>
      </c>
      <c r="E31" s="17">
        <f>E5-E8</f>
        <v>9079103.8800000008</v>
      </c>
      <c r="F31" s="17">
        <f>F5-F8</f>
        <v>8675963.9700000007</v>
      </c>
      <c r="G31" s="17">
        <f t="shared" ref="G31:O31" si="3">G5-G8</f>
        <v>8319725.8799999999</v>
      </c>
      <c r="H31" s="17">
        <f t="shared" si="3"/>
        <v>8112075.9800000004</v>
      </c>
      <c r="I31" s="17">
        <f t="shared" si="3"/>
        <v>9442134.8199999984</v>
      </c>
      <c r="J31" s="17">
        <f t="shared" si="3"/>
        <v>11423652.91</v>
      </c>
      <c r="K31" s="17">
        <f t="shared" si="3"/>
        <v>7283220.8100000015</v>
      </c>
      <c r="L31" s="17">
        <f t="shared" si="3"/>
        <v>7746476.3799999999</v>
      </c>
      <c r="M31" s="17">
        <f t="shared" si="3"/>
        <v>8694838.4100000001</v>
      </c>
      <c r="N31" s="17">
        <f t="shared" si="3"/>
        <v>8269016.5300000003</v>
      </c>
      <c r="O31" s="17">
        <f t="shared" si="3"/>
        <v>8772106.5699999984</v>
      </c>
    </row>
    <row r="32" spans="1:15">
      <c r="A32" s="5" t="s">
        <v>26</v>
      </c>
      <c r="B32" s="5"/>
      <c r="C32" s="13">
        <f t="shared" si="0"/>
        <v>0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>
      <c r="A33" s="5" t="s">
        <v>27</v>
      </c>
      <c r="B33" s="5"/>
      <c r="C33" s="13">
        <f t="shared" si="0"/>
        <v>103990631.47</v>
      </c>
      <c r="D33" s="18">
        <f>D31+D32</f>
        <v>8172315.3299999982</v>
      </c>
      <c r="E33" s="18">
        <f>E31+E32</f>
        <v>9079103.8800000008</v>
      </c>
      <c r="F33" s="18">
        <f>F31+F32</f>
        <v>8675963.9700000007</v>
      </c>
      <c r="G33" s="18">
        <f t="shared" ref="G33:O33" si="4">G31+G32</f>
        <v>8319725.8799999999</v>
      </c>
      <c r="H33" s="18">
        <f t="shared" si="4"/>
        <v>8112075.9800000004</v>
      </c>
      <c r="I33" s="18">
        <f t="shared" si="4"/>
        <v>9442134.8199999984</v>
      </c>
      <c r="J33" s="18">
        <f t="shared" si="4"/>
        <v>11423652.91</v>
      </c>
      <c r="K33" s="18">
        <f t="shared" si="4"/>
        <v>7283220.8100000015</v>
      </c>
      <c r="L33" s="18">
        <f t="shared" si="4"/>
        <v>7746476.3799999999</v>
      </c>
      <c r="M33" s="18">
        <f t="shared" si="4"/>
        <v>8694838.4100000001</v>
      </c>
      <c r="N33" s="18">
        <f t="shared" si="4"/>
        <v>8269016.5300000003</v>
      </c>
      <c r="O33" s="18">
        <f t="shared" si="4"/>
        <v>8772106.5699999984</v>
      </c>
    </row>
    <row r="34" spans="1:15">
      <c r="A34" s="5" t="s">
        <v>28</v>
      </c>
      <c r="B34" s="5"/>
      <c r="C34" s="13">
        <f t="shared" si="0"/>
        <v>200000</v>
      </c>
      <c r="D34" s="65"/>
      <c r="E34" s="65"/>
      <c r="F34" s="65"/>
      <c r="G34" s="65"/>
      <c r="H34" s="65"/>
      <c r="I34" s="65"/>
      <c r="J34" s="65">
        <v>100000</v>
      </c>
      <c r="K34" s="65"/>
      <c r="L34" s="65"/>
      <c r="M34" s="65"/>
      <c r="N34" s="65"/>
      <c r="O34" s="65">
        <f>100000</f>
        <v>100000</v>
      </c>
    </row>
    <row r="35" spans="1:15">
      <c r="A35" s="5" t="s">
        <v>1331</v>
      </c>
      <c r="B35" s="5"/>
      <c r="C35" s="13">
        <f t="shared" si="0"/>
        <v>103790631.47</v>
      </c>
      <c r="D35" s="18">
        <f>D33-D34</f>
        <v>8172315.3299999982</v>
      </c>
      <c r="E35" s="18">
        <f>E33-E34</f>
        <v>9079103.8800000008</v>
      </c>
      <c r="F35" s="18">
        <f>F33-F34</f>
        <v>8675963.9700000007</v>
      </c>
      <c r="G35" s="18">
        <f t="shared" ref="G35:O35" si="5">G33-G34</f>
        <v>8319725.8799999999</v>
      </c>
      <c r="H35" s="18">
        <f t="shared" si="5"/>
        <v>8112075.9800000004</v>
      </c>
      <c r="I35" s="18">
        <f t="shared" si="5"/>
        <v>9442134.8199999984</v>
      </c>
      <c r="J35" s="18">
        <f t="shared" si="5"/>
        <v>11323652.91</v>
      </c>
      <c r="K35" s="18">
        <f t="shared" si="5"/>
        <v>7283220.8100000015</v>
      </c>
      <c r="L35" s="18">
        <f t="shared" si="5"/>
        <v>7746476.3799999999</v>
      </c>
      <c r="M35" s="18">
        <f t="shared" si="5"/>
        <v>8694838.4100000001</v>
      </c>
      <c r="N35" s="18">
        <f t="shared" si="5"/>
        <v>8269016.5300000003</v>
      </c>
      <c r="O35" s="18">
        <f t="shared" si="5"/>
        <v>8672106.5699999984</v>
      </c>
    </row>
    <row r="36" spans="1:15">
      <c r="A36" s="5" t="s">
        <v>29</v>
      </c>
      <c r="B36" s="5"/>
      <c r="C36" s="13">
        <f t="shared" si="0"/>
        <v>0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s="2" customFormat="1">
      <c r="A37" s="9" t="s">
        <v>30</v>
      </c>
      <c r="B37" s="9"/>
      <c r="C37" s="16">
        <f>SUM(D37:O37)</f>
        <v>103790631.47</v>
      </c>
      <c r="D37" s="17">
        <f>D35-D36</f>
        <v>8172315.3299999982</v>
      </c>
      <c r="E37" s="17">
        <f t="shared" ref="E37:O37" si="6">E35-E36</f>
        <v>9079103.8800000008</v>
      </c>
      <c r="F37" s="17">
        <f t="shared" si="6"/>
        <v>8675963.9700000007</v>
      </c>
      <c r="G37" s="17">
        <f t="shared" si="6"/>
        <v>8319725.8799999999</v>
      </c>
      <c r="H37" s="17">
        <f t="shared" si="6"/>
        <v>8112075.9800000004</v>
      </c>
      <c r="I37" s="17">
        <f t="shared" si="6"/>
        <v>9442134.8199999984</v>
      </c>
      <c r="J37" s="17">
        <f t="shared" si="6"/>
        <v>11323652.91</v>
      </c>
      <c r="K37" s="17">
        <f t="shared" si="6"/>
        <v>7283220.8100000015</v>
      </c>
      <c r="L37" s="17">
        <f t="shared" si="6"/>
        <v>7746476.3799999999</v>
      </c>
      <c r="M37" s="17">
        <f t="shared" si="6"/>
        <v>8694838.4100000001</v>
      </c>
      <c r="N37" s="17">
        <f t="shared" si="6"/>
        <v>8269016.5300000003</v>
      </c>
      <c r="O37" s="17">
        <f t="shared" si="6"/>
        <v>8672106.5699999984</v>
      </c>
    </row>
    <row r="38" spans="1:15" s="3" customFormat="1" ht="8.25">
      <c r="B38" s="378"/>
      <c r="C38" s="376"/>
      <c r="D38" s="376">
        <f>8172315.33-D37</f>
        <v>0</v>
      </c>
      <c r="E38" s="376">
        <f>9079103.88-E37</f>
        <v>0</v>
      </c>
    </row>
    <row r="39" spans="1:15" s="27" customFormat="1" ht="8.25">
      <c r="A39" s="27" t="s">
        <v>31</v>
      </c>
    </row>
    <row r="40" spans="1:15" s="27" customFormat="1" ht="8.25">
      <c r="A40" s="27" t="s">
        <v>32</v>
      </c>
    </row>
    <row r="41" spans="1:15" s="27" customFormat="1" ht="8.25">
      <c r="A41" s="27" t="s">
        <v>33</v>
      </c>
    </row>
    <row r="42" spans="1:15">
      <c r="C42" s="392"/>
    </row>
    <row r="44" spans="1:15">
      <c r="A44" s="58" t="s">
        <v>109</v>
      </c>
      <c r="B44" s="57"/>
      <c r="C44" s="59" t="s">
        <v>110</v>
      </c>
      <c r="D44" s="59"/>
      <c r="E44" s="60"/>
      <c r="F44" s="58"/>
      <c r="G44" s="61" t="s">
        <v>111</v>
      </c>
      <c r="H44" s="61"/>
    </row>
    <row r="45" spans="1:15">
      <c r="A45" s="58" t="s">
        <v>112</v>
      </c>
      <c r="B45" s="57"/>
      <c r="C45" s="59" t="s">
        <v>113</v>
      </c>
      <c r="D45" s="59"/>
      <c r="E45" s="60"/>
      <c r="F45" s="58"/>
      <c r="G45" s="61" t="s">
        <v>114</v>
      </c>
      <c r="H45" s="61"/>
    </row>
  </sheetData>
  <mergeCells count="1">
    <mergeCell ref="C2:C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X54"/>
  <sheetViews>
    <sheetView workbookViewId="0">
      <selection activeCell="G60" sqref="G60"/>
    </sheetView>
  </sheetViews>
  <sheetFormatPr defaultRowHeight="8.25"/>
  <cols>
    <col min="1" max="1" width="31.140625" style="3" customWidth="1"/>
    <col min="2" max="7" width="9.140625" style="3"/>
    <col min="8" max="8" width="12.28515625" style="3" bestFit="1" customWidth="1"/>
    <col min="9" max="10" width="11" style="3" bestFit="1" customWidth="1"/>
    <col min="11" max="11" width="11.140625" style="3" bestFit="1" customWidth="1"/>
    <col min="12" max="12" width="10.7109375" style="3" bestFit="1" customWidth="1"/>
    <col min="13" max="13" width="11.42578125" style="3" bestFit="1" customWidth="1"/>
    <col min="14" max="14" width="11.140625" style="3" bestFit="1" customWidth="1"/>
    <col min="15" max="15" width="10.85546875" style="3" bestFit="1" customWidth="1"/>
    <col min="16" max="16" width="10.7109375" style="3" bestFit="1" customWidth="1"/>
    <col min="17" max="17" width="11.140625" style="3" bestFit="1" customWidth="1"/>
    <col min="18" max="18" width="10.7109375" style="3" bestFit="1" customWidth="1"/>
    <col min="19" max="20" width="11" style="3" bestFit="1" customWidth="1"/>
    <col min="21" max="16384" width="9.140625" style="3"/>
  </cols>
  <sheetData>
    <row r="1" spans="1:24" ht="11.25">
      <c r="B1" s="27" t="s">
        <v>52</v>
      </c>
      <c r="H1" s="2" t="s">
        <v>548</v>
      </c>
      <c r="I1" s="2"/>
      <c r="K1" s="378" t="s">
        <v>537</v>
      </c>
      <c r="M1" s="27" t="s">
        <v>52</v>
      </c>
      <c r="R1" s="2" t="s">
        <v>548</v>
      </c>
      <c r="X1" s="378" t="s">
        <v>538</v>
      </c>
    </row>
    <row r="2" spans="1:24">
      <c r="A2" s="38" t="s">
        <v>53</v>
      </c>
      <c r="B2" s="38"/>
      <c r="C2" s="38"/>
      <c r="D2" s="38"/>
      <c r="E2" s="38"/>
      <c r="F2" s="38"/>
      <c r="G2" s="38"/>
      <c r="H2" s="376"/>
      <c r="M2" s="376"/>
      <c r="N2" s="376"/>
    </row>
    <row r="3" spans="1:24">
      <c r="A3" s="23" t="s">
        <v>54</v>
      </c>
      <c r="B3" s="28" t="s">
        <v>539</v>
      </c>
      <c r="C3" s="28"/>
      <c r="D3" s="28"/>
      <c r="E3" s="28"/>
      <c r="F3" s="28"/>
      <c r="G3" s="28"/>
      <c r="H3" s="50" t="s">
        <v>101</v>
      </c>
      <c r="I3" s="45">
        <f>RCL!D2</f>
        <v>44348</v>
      </c>
      <c r="J3" s="47">
        <f>RCL!E2</f>
        <v>44317</v>
      </c>
      <c r="K3" s="45">
        <f>RCL!F2</f>
        <v>44287</v>
      </c>
      <c r="L3" s="45">
        <f>RCL!G2</f>
        <v>44256</v>
      </c>
      <c r="M3" s="47">
        <f>RCL!H2</f>
        <v>44228</v>
      </c>
      <c r="N3" s="45">
        <f>RCL!I2</f>
        <v>44197</v>
      </c>
      <c r="O3" s="47">
        <f>RCL!J2</f>
        <v>44166</v>
      </c>
      <c r="P3" s="45">
        <f>RCL!K2</f>
        <v>44136</v>
      </c>
      <c r="Q3" s="47">
        <f>RCL!L2</f>
        <v>44105</v>
      </c>
      <c r="R3" s="45">
        <f>RCL!M2</f>
        <v>44075</v>
      </c>
      <c r="S3" s="47">
        <f>RCL!N2</f>
        <v>44044</v>
      </c>
      <c r="T3" s="45">
        <f>RCL!O2</f>
        <v>44013</v>
      </c>
    </row>
    <row r="4" spans="1:24">
      <c r="A4" s="10" t="s">
        <v>48</v>
      </c>
      <c r="B4" s="379" t="s">
        <v>104</v>
      </c>
      <c r="C4" s="28"/>
      <c r="D4" s="28"/>
      <c r="E4" s="28"/>
      <c r="F4" s="28"/>
      <c r="G4" s="35" t="s">
        <v>92</v>
      </c>
      <c r="H4" s="51" t="s">
        <v>102</v>
      </c>
      <c r="I4" s="46" t="s">
        <v>42</v>
      </c>
      <c r="J4" s="44" t="s">
        <v>43</v>
      </c>
      <c r="K4" s="46" t="s">
        <v>44</v>
      </c>
      <c r="L4" s="46" t="s">
        <v>45</v>
      </c>
      <c r="M4" s="44" t="s">
        <v>46</v>
      </c>
      <c r="N4" s="46" t="s">
        <v>47</v>
      </c>
      <c r="O4" s="44" t="s">
        <v>95</v>
      </c>
      <c r="P4" s="46" t="s">
        <v>96</v>
      </c>
      <c r="Q4" s="44" t="s">
        <v>97</v>
      </c>
      <c r="R4" s="46" t="s">
        <v>98</v>
      </c>
      <c r="S4" s="44" t="s">
        <v>99</v>
      </c>
      <c r="T4" s="46" t="s">
        <v>100</v>
      </c>
    </row>
    <row r="5" spans="1:24" s="27" customFormat="1">
      <c r="A5" s="43" t="s">
        <v>55</v>
      </c>
      <c r="B5" s="39"/>
      <c r="C5" s="40"/>
      <c r="D5" s="40"/>
      <c r="E5" s="40"/>
      <c r="F5" s="40"/>
      <c r="G5" s="40"/>
      <c r="H5" s="371">
        <f>SUM(I5:T5)</f>
        <v>91638062.409999996</v>
      </c>
      <c r="I5" s="189">
        <f>I6+I7</f>
        <v>7299492.0199999996</v>
      </c>
      <c r="J5" s="189">
        <f t="shared" ref="J5:T5" si="0">J6+J7</f>
        <v>7278817.8399999999</v>
      </c>
      <c r="K5" s="189">
        <f t="shared" si="0"/>
        <v>7237452.4900000002</v>
      </c>
      <c r="L5" s="189">
        <f t="shared" si="0"/>
        <v>7701416.3200000003</v>
      </c>
      <c r="M5" s="189">
        <f t="shared" si="0"/>
        <v>7539150.8300000001</v>
      </c>
      <c r="N5" s="189">
        <f t="shared" si="0"/>
        <v>7252406.9000000004</v>
      </c>
      <c r="O5" s="189">
        <f t="shared" si="0"/>
        <v>13900533.26</v>
      </c>
      <c r="P5" s="189">
        <f t="shared" si="0"/>
        <v>6729344.2599999998</v>
      </c>
      <c r="Q5" s="189">
        <f t="shared" si="0"/>
        <v>6738219.0999999996</v>
      </c>
      <c r="R5" s="189">
        <f t="shared" si="0"/>
        <v>7053664.6900000004</v>
      </c>
      <c r="S5" s="189">
        <f t="shared" si="0"/>
        <v>6460942.8799999999</v>
      </c>
      <c r="T5" s="189">
        <f t="shared" si="0"/>
        <v>6446621.8200000003</v>
      </c>
    </row>
    <row r="6" spans="1:24">
      <c r="A6" s="10" t="s">
        <v>56</v>
      </c>
      <c r="B6" s="23"/>
      <c r="C6" s="28"/>
      <c r="D6" s="28"/>
      <c r="E6" s="28"/>
      <c r="F6" s="28"/>
      <c r="G6" s="25" t="s">
        <v>122</v>
      </c>
      <c r="H6" s="49">
        <f>SUM(I6:T6)</f>
        <v>91115177.909999996</v>
      </c>
      <c r="I6" s="48">
        <f>7170867.52</f>
        <v>7170867.5199999996</v>
      </c>
      <c r="J6" s="48">
        <f>7046389.84</f>
        <v>7046389.8399999999</v>
      </c>
      <c r="K6" s="48">
        <f>7237452.49</f>
        <v>7237452.4900000002</v>
      </c>
      <c r="L6" s="48">
        <v>7577072.3200000003</v>
      </c>
      <c r="M6" s="48">
        <f>7501662.83</f>
        <v>7501662.8300000001</v>
      </c>
      <c r="N6" s="48">
        <v>7252406.9000000004</v>
      </c>
      <c r="O6" s="54">
        <v>13900533.26</v>
      </c>
      <c r="P6" s="48">
        <f>6729344.26</f>
        <v>6729344.2599999998</v>
      </c>
      <c r="Q6" s="48">
        <v>6738219.0999999996</v>
      </c>
      <c r="R6" s="48">
        <v>7053664.6900000004</v>
      </c>
      <c r="S6" s="48">
        <v>6460942.8799999999</v>
      </c>
      <c r="T6" s="48">
        <f>6446621.82</f>
        <v>6446621.8200000003</v>
      </c>
    </row>
    <row r="7" spans="1:24">
      <c r="A7" s="10" t="s">
        <v>57</v>
      </c>
      <c r="B7" s="20"/>
      <c r="C7" s="38"/>
      <c r="D7" s="38"/>
      <c r="E7" s="38"/>
      <c r="F7" s="38"/>
      <c r="G7" s="21" t="s">
        <v>123</v>
      </c>
      <c r="H7" s="49">
        <f t="shared" ref="H7:H47" si="1">SUM(I7:T7)</f>
        <v>522884.5</v>
      </c>
      <c r="I7" s="54">
        <f>128624.5</f>
        <v>128624.5</v>
      </c>
      <c r="J7" s="54">
        <f>232428</f>
        <v>232428</v>
      </c>
      <c r="K7" s="10"/>
      <c r="L7" s="370">
        <v>124344</v>
      </c>
      <c r="M7" s="370">
        <v>37488</v>
      </c>
      <c r="N7" s="370"/>
      <c r="O7" s="10"/>
      <c r="P7" s="10"/>
      <c r="Q7" s="10"/>
      <c r="R7" s="10"/>
      <c r="S7" s="10"/>
      <c r="T7" s="370"/>
    </row>
    <row r="8" spans="1:24" s="27" customFormat="1">
      <c r="A8" s="35" t="s">
        <v>5</v>
      </c>
      <c r="B8" s="35"/>
      <c r="C8" s="36"/>
      <c r="D8" s="36"/>
      <c r="E8" s="36"/>
      <c r="F8" s="36"/>
      <c r="G8" s="37"/>
      <c r="H8" s="49">
        <f>SUM(I8:T8)</f>
        <v>33003962.510000002</v>
      </c>
      <c r="I8" s="52">
        <f>SUM(I9:I23)</f>
        <v>2015189.95</v>
      </c>
      <c r="J8" s="52">
        <f>SUM(J9:J23)</f>
        <v>1893136.98</v>
      </c>
      <c r="K8" s="52">
        <f t="shared" ref="K8:T8" si="2">SUM(K9:K23)</f>
        <v>2101713.59</v>
      </c>
      <c r="L8" s="52">
        <f t="shared" si="2"/>
        <v>2293464.94</v>
      </c>
      <c r="M8" s="52">
        <f t="shared" si="2"/>
        <v>2261954.9500000002</v>
      </c>
      <c r="N8" s="52">
        <f t="shared" si="2"/>
        <v>2206181.33</v>
      </c>
      <c r="O8" s="52">
        <f t="shared" si="2"/>
        <v>5453631.7999999998</v>
      </c>
      <c r="P8" s="52">
        <f t="shared" si="2"/>
        <v>2792799.6199999996</v>
      </c>
      <c r="Q8" s="52">
        <f t="shared" si="2"/>
        <v>3024949.6900000004</v>
      </c>
      <c r="R8" s="52">
        <f t="shared" si="2"/>
        <v>3363614.3099999996</v>
      </c>
      <c r="S8" s="52">
        <f t="shared" si="2"/>
        <v>2795220.2200000007</v>
      </c>
      <c r="T8" s="52">
        <f t="shared" si="2"/>
        <v>2802105.13</v>
      </c>
    </row>
    <row r="9" spans="1:24">
      <c r="A9" s="23" t="s">
        <v>108</v>
      </c>
      <c r="B9" s="20"/>
      <c r="C9" s="38"/>
      <c r="D9" s="38"/>
      <c r="E9" s="38"/>
      <c r="F9" s="38"/>
      <c r="G9" s="10" t="s">
        <v>115</v>
      </c>
      <c r="H9" s="49">
        <f t="shared" si="1"/>
        <v>20673822.010000002</v>
      </c>
      <c r="I9" s="54">
        <f>1649294.67</f>
        <v>1649294.67</v>
      </c>
      <c r="J9" s="54">
        <f>1642118.8</f>
        <v>1642118.8</v>
      </c>
      <c r="K9" s="54">
        <f>1638614.89</f>
        <v>1638614.89</v>
      </c>
      <c r="L9" s="54">
        <f>1695217.98</f>
        <v>1695217.98</v>
      </c>
      <c r="M9" s="54">
        <f>1674599.82</f>
        <v>1674599.82</v>
      </c>
      <c r="N9" s="54">
        <v>1578605.84</v>
      </c>
      <c r="O9" s="54">
        <v>3078459.2</v>
      </c>
      <c r="P9" s="54">
        <v>1563348.99</v>
      </c>
      <c r="Q9" s="54">
        <f>1561967.53</f>
        <v>1561967.53</v>
      </c>
      <c r="R9" s="54">
        <v>1553214.26</v>
      </c>
      <c r="S9" s="54">
        <v>1520439.6</v>
      </c>
      <c r="T9" s="54">
        <v>1517940.43</v>
      </c>
    </row>
    <row r="10" spans="1:24">
      <c r="A10" s="23" t="s">
        <v>58</v>
      </c>
      <c r="B10" s="23"/>
      <c r="C10" s="28"/>
      <c r="D10" s="28"/>
      <c r="E10" s="28"/>
      <c r="F10" s="28"/>
      <c r="G10" s="10" t="s">
        <v>116</v>
      </c>
      <c r="H10" s="49">
        <f t="shared" si="1"/>
        <v>2638432.0299999998</v>
      </c>
      <c r="I10" s="54">
        <f>210844.25</f>
        <v>210844.25</v>
      </c>
      <c r="J10" s="54">
        <f>210918.91</f>
        <v>210918.91</v>
      </c>
      <c r="K10" s="54">
        <f>209700.26</f>
        <v>209700.26</v>
      </c>
      <c r="L10" s="54">
        <f>219471.11</f>
        <v>219471.11</v>
      </c>
      <c r="M10" s="54">
        <f>222290.44</f>
        <v>222290.44</v>
      </c>
      <c r="N10" s="54">
        <f>196354.43</f>
        <v>196354.43</v>
      </c>
      <c r="O10" s="54">
        <v>388793.29</v>
      </c>
      <c r="P10" s="54">
        <v>195275.91</v>
      </c>
      <c r="Q10" s="54">
        <v>195275.91</v>
      </c>
      <c r="R10" s="54">
        <f>195374.14</f>
        <v>195374.14</v>
      </c>
      <c r="S10" s="54">
        <v>196749.29</v>
      </c>
      <c r="T10" s="54">
        <f>197384.09</f>
        <v>197384.09</v>
      </c>
    </row>
    <row r="11" spans="1:24">
      <c r="A11" s="23" t="s">
        <v>59</v>
      </c>
      <c r="B11" s="20"/>
      <c r="C11" s="38"/>
      <c r="D11" s="38"/>
      <c r="E11" s="38"/>
      <c r="F11" s="38"/>
      <c r="G11" s="10" t="s">
        <v>118</v>
      </c>
      <c r="H11" s="49">
        <f t="shared" si="1"/>
        <v>0</v>
      </c>
      <c r="I11" s="10"/>
      <c r="J11" s="10"/>
      <c r="K11" s="10"/>
      <c r="L11" s="10"/>
      <c r="M11" s="375"/>
      <c r="N11" s="10"/>
      <c r="O11" s="10"/>
      <c r="P11" s="10"/>
      <c r="Q11" s="10"/>
      <c r="R11" s="10"/>
      <c r="S11" s="10"/>
      <c r="T11" s="10"/>
    </row>
    <row r="12" spans="1:24">
      <c r="A12" s="23" t="s">
        <v>60</v>
      </c>
      <c r="B12" s="23"/>
      <c r="C12" s="28"/>
      <c r="D12" s="28"/>
      <c r="E12" s="28"/>
      <c r="F12" s="28"/>
      <c r="G12" s="10" t="s">
        <v>117</v>
      </c>
      <c r="H12" s="49">
        <f t="shared" si="1"/>
        <v>0</v>
      </c>
      <c r="I12" s="10"/>
      <c r="J12" s="10"/>
      <c r="K12" s="10"/>
      <c r="L12" s="10"/>
      <c r="M12" s="15"/>
      <c r="N12" s="15"/>
      <c r="O12" s="15"/>
      <c r="P12" s="15"/>
      <c r="Q12" s="15"/>
      <c r="R12" s="15"/>
      <c r="S12" s="15"/>
      <c r="T12" s="15"/>
    </row>
    <row r="13" spans="1:24">
      <c r="A13" s="23" t="s">
        <v>61</v>
      </c>
      <c r="B13" s="20"/>
      <c r="C13" s="38"/>
      <c r="D13" s="38"/>
      <c r="E13" s="38"/>
      <c r="F13" s="38"/>
      <c r="G13" s="10" t="s">
        <v>119</v>
      </c>
      <c r="H13" s="49">
        <f t="shared" si="1"/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4">
      <c r="A14" s="30" t="s">
        <v>62</v>
      </c>
      <c r="B14" s="30"/>
      <c r="C14" s="31"/>
      <c r="D14" s="31"/>
      <c r="E14" s="31"/>
      <c r="F14" s="31"/>
      <c r="G14" s="10" t="s">
        <v>107</v>
      </c>
      <c r="H14" s="49">
        <f t="shared" si="1"/>
        <v>2894347.53</v>
      </c>
      <c r="I14" s="65">
        <f>155051.03</f>
        <v>155051.03</v>
      </c>
      <c r="J14" s="65">
        <f>40099.27</f>
        <v>40099.269999999997</v>
      </c>
      <c r="K14" s="65">
        <f>253398.44</f>
        <v>253398.44</v>
      </c>
      <c r="L14" s="65">
        <f>378775.85</f>
        <v>378775.85</v>
      </c>
      <c r="M14" s="65">
        <v>365064.69</v>
      </c>
      <c r="N14" s="65">
        <v>431221.06</v>
      </c>
      <c r="O14" s="65">
        <f>127016.84</f>
        <v>127016.84</v>
      </c>
      <c r="P14" s="65">
        <f>38072.38</f>
        <v>38072.379999999997</v>
      </c>
      <c r="Q14" s="65">
        <v>291286.78999999998</v>
      </c>
      <c r="R14" s="65">
        <f>629429.09</f>
        <v>629429.09</v>
      </c>
      <c r="S14" s="65">
        <f>89854.36</f>
        <v>89854.36</v>
      </c>
      <c r="T14" s="65">
        <f>95077.73</f>
        <v>95077.73</v>
      </c>
    </row>
    <row r="15" spans="1:24">
      <c r="A15" s="55" t="s">
        <v>106</v>
      </c>
      <c r="B15" s="56"/>
      <c r="C15" s="28"/>
      <c r="D15" s="28"/>
      <c r="E15" s="28"/>
      <c r="F15" s="28"/>
      <c r="G15" s="10" t="s">
        <v>105</v>
      </c>
      <c r="H15" s="49">
        <f t="shared" si="1"/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4" ht="16.5">
      <c r="A16" s="364" t="s">
        <v>535</v>
      </c>
      <c r="B16" s="363"/>
      <c r="C16" s="28"/>
      <c r="D16" s="28"/>
      <c r="E16" s="28"/>
      <c r="F16" s="28"/>
      <c r="G16" s="365" t="s">
        <v>534</v>
      </c>
      <c r="H16" s="374">
        <f>SUM(I16:T16)</f>
        <v>97.24</v>
      </c>
      <c r="I16" s="10"/>
      <c r="J16" s="10"/>
      <c r="K16" s="10"/>
      <c r="L16" s="10"/>
      <c r="M16" s="10"/>
      <c r="N16" s="23"/>
      <c r="O16" s="65"/>
      <c r="P16" s="65"/>
      <c r="Q16" s="65"/>
      <c r="R16" s="65"/>
      <c r="S16" s="65">
        <v>48.62</v>
      </c>
      <c r="T16" s="65">
        <v>48.62</v>
      </c>
    </row>
    <row r="17" spans="1:20" ht="16.5">
      <c r="A17" s="364" t="s">
        <v>532</v>
      </c>
      <c r="B17" s="363"/>
      <c r="C17" s="28"/>
      <c r="D17" s="28"/>
      <c r="E17" s="28"/>
      <c r="F17" s="28"/>
      <c r="G17" s="365" t="s">
        <v>518</v>
      </c>
      <c r="H17" s="49">
        <f t="shared" si="1"/>
        <v>7315</v>
      </c>
      <c r="I17" s="10"/>
      <c r="J17" s="10"/>
      <c r="K17" s="10"/>
      <c r="L17" s="10"/>
      <c r="M17" s="10"/>
      <c r="N17" s="23"/>
      <c r="O17" s="65">
        <f>1045</f>
        <v>1045</v>
      </c>
      <c r="P17" s="65">
        <v>2090</v>
      </c>
      <c r="Q17" s="65">
        <v>1045</v>
      </c>
      <c r="R17" s="65">
        <v>2090</v>
      </c>
      <c r="S17" s="65"/>
      <c r="T17" s="65">
        <f>1045</f>
        <v>1045</v>
      </c>
    </row>
    <row r="18" spans="1:20">
      <c r="A18" s="364" t="s">
        <v>520</v>
      </c>
      <c r="B18" s="363"/>
      <c r="C18" s="28"/>
      <c r="D18" s="28"/>
      <c r="E18" s="28"/>
      <c r="F18" s="28"/>
      <c r="G18" s="365" t="s">
        <v>519</v>
      </c>
      <c r="H18" s="49">
        <f t="shared" si="1"/>
        <v>95847.07</v>
      </c>
      <c r="I18" s="10"/>
      <c r="J18" s="10"/>
      <c r="K18" s="10"/>
      <c r="L18" s="10"/>
      <c r="M18" s="10"/>
      <c r="N18" s="23"/>
      <c r="O18" s="118">
        <f>38202.42</f>
        <v>38202.42</v>
      </c>
      <c r="P18" s="118">
        <v>12981.52</v>
      </c>
      <c r="Q18" s="118">
        <f>10140.05</f>
        <v>10140.049999999999</v>
      </c>
      <c r="R18" s="118">
        <f>11943.55</f>
        <v>11943.55</v>
      </c>
      <c r="S18" s="118">
        <v>11218.85</v>
      </c>
      <c r="T18" s="118">
        <f>11360.68</f>
        <v>11360.68</v>
      </c>
    </row>
    <row r="19" spans="1:20">
      <c r="A19" s="364" t="s">
        <v>522</v>
      </c>
      <c r="B19" s="363"/>
      <c r="C19" s="28"/>
      <c r="D19" s="28"/>
      <c r="E19" s="28"/>
      <c r="F19" s="28"/>
      <c r="G19" s="365" t="s">
        <v>521</v>
      </c>
      <c r="H19" s="49">
        <f t="shared" si="1"/>
        <v>8015.52</v>
      </c>
      <c r="I19" s="10"/>
      <c r="J19" s="10"/>
      <c r="K19" s="10"/>
      <c r="L19" s="10"/>
      <c r="M19" s="10"/>
      <c r="N19" s="23"/>
      <c r="O19" s="65">
        <f>1335.92</f>
        <v>1335.92</v>
      </c>
      <c r="P19" s="65">
        <v>1335.92</v>
      </c>
      <c r="Q19" s="65">
        <v>1335.92</v>
      </c>
      <c r="R19" s="65">
        <v>1335.92</v>
      </c>
      <c r="S19" s="65">
        <v>1335.92</v>
      </c>
      <c r="T19" s="65">
        <v>1335.92</v>
      </c>
    </row>
    <row r="20" spans="1:20" ht="16.5">
      <c r="A20" s="364" t="s">
        <v>524</v>
      </c>
      <c r="B20" s="363"/>
      <c r="C20" s="28"/>
      <c r="D20" s="28"/>
      <c r="E20" s="28"/>
      <c r="F20" s="28"/>
      <c r="G20" s="365" t="s">
        <v>523</v>
      </c>
      <c r="H20" s="49">
        <f t="shared" si="1"/>
        <v>26010.299999999996</v>
      </c>
      <c r="I20" s="10"/>
      <c r="J20" s="10"/>
      <c r="K20" s="10"/>
      <c r="L20" s="10"/>
      <c r="M20" s="10"/>
      <c r="N20" s="23"/>
      <c r="O20" s="118">
        <v>15801.22</v>
      </c>
      <c r="P20" s="118">
        <f>8044.24</f>
        <v>8044.24</v>
      </c>
      <c r="Q20" s="118">
        <v>541.21</v>
      </c>
      <c r="R20" s="118">
        <v>541.21</v>
      </c>
      <c r="S20" s="118">
        <f>541.21</f>
        <v>541.21</v>
      </c>
      <c r="T20" s="118">
        <v>541.21</v>
      </c>
    </row>
    <row r="21" spans="1:20" ht="16.5">
      <c r="A21" s="364" t="s">
        <v>533</v>
      </c>
      <c r="B21" s="363"/>
      <c r="C21" s="28"/>
      <c r="D21" s="28"/>
      <c r="E21" s="28"/>
      <c r="F21" s="28"/>
      <c r="G21" s="365" t="s">
        <v>525</v>
      </c>
      <c r="H21" s="49">
        <f t="shared" si="1"/>
        <v>784672.7</v>
      </c>
      <c r="I21" s="10"/>
      <c r="J21" s="10"/>
      <c r="K21" s="10"/>
      <c r="L21" s="10"/>
      <c r="M21" s="10"/>
      <c r="N21" s="23"/>
      <c r="O21" s="65">
        <v>141295.99</v>
      </c>
      <c r="P21" s="65">
        <f>128916.01</f>
        <v>128916.01</v>
      </c>
      <c r="Q21" s="65">
        <f>127878.71</f>
        <v>127878.71</v>
      </c>
      <c r="R21" s="65">
        <f>128160.22</f>
        <v>128160.22</v>
      </c>
      <c r="S21" s="65">
        <f>129497.82</f>
        <v>129497.82</v>
      </c>
      <c r="T21" s="65">
        <f>128923.95</f>
        <v>128923.95</v>
      </c>
    </row>
    <row r="22" spans="1:20" ht="16.5">
      <c r="A22" s="364" t="s">
        <v>527</v>
      </c>
      <c r="B22" s="56"/>
      <c r="C22" s="28"/>
      <c r="D22" s="28"/>
      <c r="E22" s="28"/>
      <c r="F22" s="28"/>
      <c r="G22" s="366" t="s">
        <v>526</v>
      </c>
      <c r="H22" s="49">
        <f t="shared" si="1"/>
        <v>4586117.0199999996</v>
      </c>
      <c r="I22" s="10"/>
      <c r="J22" s="10"/>
      <c r="K22" s="10"/>
      <c r="L22" s="10"/>
      <c r="M22" s="10"/>
      <c r="N22" s="23"/>
      <c r="O22" s="65">
        <f>1308915.48</f>
        <v>1308915.48</v>
      </c>
      <c r="P22" s="65">
        <f>659491.72</f>
        <v>659491.72</v>
      </c>
      <c r="Q22" s="65">
        <v>646130.89</v>
      </c>
      <c r="R22" s="65">
        <f>654875.8</f>
        <v>654875.80000000005</v>
      </c>
      <c r="S22" s="65">
        <f>657793.22</f>
        <v>657793.22</v>
      </c>
      <c r="T22" s="65">
        <f>658909.91</f>
        <v>658909.91</v>
      </c>
    </row>
    <row r="23" spans="1:20">
      <c r="A23" s="55" t="s">
        <v>528</v>
      </c>
      <c r="B23" s="56"/>
      <c r="C23" s="28"/>
      <c r="D23" s="28"/>
      <c r="E23" s="28"/>
      <c r="F23" s="28"/>
      <c r="G23" s="10" t="s">
        <v>530</v>
      </c>
      <c r="H23" s="49">
        <f>SUM(I23:T23)</f>
        <v>1289286.0900000001</v>
      </c>
      <c r="I23" s="65"/>
      <c r="J23" s="65"/>
      <c r="K23" s="65"/>
      <c r="L23" s="65"/>
      <c r="M23" s="65"/>
      <c r="N23" s="65"/>
      <c r="O23" s="65">
        <f>RCL!J9</f>
        <v>352766.44</v>
      </c>
      <c r="P23" s="65">
        <f>RCL!K9</f>
        <v>183242.93</v>
      </c>
      <c r="Q23" s="65">
        <f>RCL!L9</f>
        <v>189347.68</v>
      </c>
      <c r="R23" s="65">
        <f>RCL!M9</f>
        <v>186650.12</v>
      </c>
      <c r="S23" s="65">
        <f>RCL!N9</f>
        <v>187741.33</v>
      </c>
      <c r="T23" s="65">
        <f>RCL!O9</f>
        <v>189537.59</v>
      </c>
    </row>
    <row r="24" spans="1:20" s="27" customFormat="1">
      <c r="A24" s="43" t="s">
        <v>63</v>
      </c>
      <c r="B24" s="39"/>
      <c r="C24" s="40"/>
      <c r="D24" s="40"/>
      <c r="E24" s="40"/>
      <c r="F24" s="40"/>
      <c r="G24" s="15"/>
      <c r="H24" s="49">
        <f>SUM(I24:T24)</f>
        <v>58634099.899999999</v>
      </c>
      <c r="I24" s="53">
        <f t="shared" ref="I24" si="3">I5-I8</f>
        <v>5284302.0699999994</v>
      </c>
      <c r="J24" s="53">
        <f t="shared" ref="J24:T24" si="4">J5-J8</f>
        <v>5385680.8599999994</v>
      </c>
      <c r="K24" s="53">
        <f t="shared" si="4"/>
        <v>5135738.9000000004</v>
      </c>
      <c r="L24" s="53">
        <f t="shared" si="4"/>
        <v>5407951.3800000008</v>
      </c>
      <c r="M24" s="53">
        <f t="shared" si="4"/>
        <v>5277195.88</v>
      </c>
      <c r="N24" s="53">
        <f t="shared" si="4"/>
        <v>5046225.57</v>
      </c>
      <c r="O24" s="53">
        <f t="shared" si="4"/>
        <v>8446901.4600000009</v>
      </c>
      <c r="P24" s="53">
        <f t="shared" si="4"/>
        <v>3936544.64</v>
      </c>
      <c r="Q24" s="53">
        <f t="shared" si="4"/>
        <v>3713269.4099999992</v>
      </c>
      <c r="R24" s="53">
        <f t="shared" si="4"/>
        <v>3690050.3800000008</v>
      </c>
      <c r="S24" s="53">
        <f t="shared" si="4"/>
        <v>3665722.6599999992</v>
      </c>
      <c r="T24" s="53">
        <f t="shared" si="4"/>
        <v>3644516.6900000004</v>
      </c>
    </row>
    <row r="25" spans="1:20">
      <c r="A25" s="10" t="s">
        <v>64</v>
      </c>
      <c r="B25" s="23"/>
      <c r="C25" s="28"/>
      <c r="D25" s="28"/>
      <c r="E25" s="28"/>
      <c r="F25" s="28"/>
      <c r="G25" s="10" t="s">
        <v>120</v>
      </c>
      <c r="H25" s="49">
        <f t="shared" si="1"/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 t="s">
        <v>65</v>
      </c>
      <c r="B26" s="20"/>
      <c r="C26" s="38"/>
      <c r="D26" s="38"/>
      <c r="E26" s="38"/>
      <c r="F26" s="38"/>
      <c r="G26" s="10" t="s">
        <v>121</v>
      </c>
      <c r="H26" s="49">
        <f t="shared" si="1"/>
        <v>0</v>
      </c>
      <c r="I26" s="10"/>
      <c r="J26" s="10"/>
      <c r="K26" s="37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27" customFormat="1">
      <c r="A27" s="15" t="s">
        <v>94</v>
      </c>
      <c r="B27" s="35"/>
      <c r="C27" s="36"/>
      <c r="D27" s="36"/>
      <c r="E27" s="36"/>
      <c r="F27" s="36"/>
      <c r="G27" s="37"/>
      <c r="H27" s="49">
        <f t="shared" si="1"/>
        <v>0</v>
      </c>
      <c r="I27" s="52">
        <f>SUM(I25:I26)</f>
        <v>0</v>
      </c>
      <c r="J27" s="52">
        <f>SUM(J25:J26)</f>
        <v>0</v>
      </c>
      <c r="K27" s="52">
        <f t="shared" ref="K27:T27" si="5">SUM(K25:K26)</f>
        <v>0</v>
      </c>
      <c r="L27" s="52">
        <f t="shared" si="5"/>
        <v>0</v>
      </c>
      <c r="M27" s="52">
        <f t="shared" si="5"/>
        <v>0</v>
      </c>
      <c r="N27" s="52">
        <f t="shared" si="5"/>
        <v>0</v>
      </c>
      <c r="O27" s="52">
        <f t="shared" si="5"/>
        <v>0</v>
      </c>
      <c r="P27" s="52">
        <f t="shared" si="5"/>
        <v>0</v>
      </c>
      <c r="Q27" s="52">
        <f t="shared" si="5"/>
        <v>0</v>
      </c>
      <c r="R27" s="52">
        <f t="shared" si="5"/>
        <v>0</v>
      </c>
      <c r="S27" s="52">
        <f t="shared" si="5"/>
        <v>0</v>
      </c>
      <c r="T27" s="52">
        <f t="shared" si="5"/>
        <v>0</v>
      </c>
    </row>
    <row r="28" spans="1:20">
      <c r="A28" s="10" t="s">
        <v>66</v>
      </c>
      <c r="B28" s="23" t="s">
        <v>93</v>
      </c>
      <c r="C28" s="28"/>
      <c r="D28" s="28"/>
      <c r="E28" s="28"/>
      <c r="F28" s="28"/>
      <c r="G28" s="10"/>
      <c r="H28" s="49">
        <f>SUM(I28:T28)</f>
        <v>278240.19000000041</v>
      </c>
      <c r="I28" s="375">
        <f>7154869.31-(I6+I70)</f>
        <v>-15998.209999999963</v>
      </c>
      <c r="J28" s="375">
        <f>7045109.36-J6+355000-J7</f>
        <v>121291.52000000048</v>
      </c>
      <c r="K28" s="375">
        <f>7228639.21-K6+1584-K7</f>
        <v>-7229.2800000002608</v>
      </c>
      <c r="L28" s="375">
        <f>7670632.48-L6+70000-L7</f>
        <v>39216.160000000149</v>
      </c>
      <c r="M28" s="375">
        <f>7447735.4-M6+155000-M7</f>
        <v>63584.570000000298</v>
      </c>
      <c r="N28" s="375">
        <f>7329782.33-N6</f>
        <v>77375.429999999702</v>
      </c>
      <c r="O28" s="15"/>
      <c r="P28" s="15"/>
      <c r="Q28" s="15"/>
      <c r="R28" s="15"/>
      <c r="S28" s="15"/>
      <c r="T28" s="15"/>
    </row>
    <row r="29" spans="1:20">
      <c r="A29" s="29" t="s">
        <v>67</v>
      </c>
      <c r="B29" s="30" t="s">
        <v>93</v>
      </c>
      <c r="C29" s="38"/>
      <c r="D29" s="38"/>
      <c r="E29" s="38"/>
      <c r="F29" s="38"/>
      <c r="G29" s="10"/>
      <c r="H29" s="49">
        <f t="shared" si="1"/>
        <v>0</v>
      </c>
      <c r="I29" s="54"/>
      <c r="J29" s="54"/>
      <c r="K29" s="370"/>
      <c r="L29" s="370"/>
      <c r="M29" s="375"/>
      <c r="N29" s="375"/>
      <c r="O29" s="375"/>
      <c r="P29" s="375"/>
      <c r="Q29" s="375"/>
      <c r="R29" s="375"/>
      <c r="S29" s="375"/>
      <c r="T29" s="375"/>
    </row>
    <row r="30" spans="1:20" s="27" customFormat="1">
      <c r="A30" s="35" t="s">
        <v>68</v>
      </c>
      <c r="B30" s="36"/>
      <c r="C30" s="36"/>
      <c r="D30" s="36"/>
      <c r="E30" s="36"/>
      <c r="F30" s="36"/>
      <c r="G30" s="377"/>
      <c r="H30" s="49">
        <f t="shared" si="1"/>
        <v>278240.19000000041</v>
      </c>
      <c r="I30" s="52">
        <f>SUM(I28:I29)</f>
        <v>-15998.209999999963</v>
      </c>
      <c r="J30" s="52">
        <f>SUM(J28:J29)</f>
        <v>121291.52000000048</v>
      </c>
      <c r="K30" s="52">
        <f t="shared" ref="K30:T30" si="6">SUM(K28:K29)</f>
        <v>-7229.2800000002608</v>
      </c>
      <c r="L30" s="52">
        <f t="shared" si="6"/>
        <v>39216.160000000149</v>
      </c>
      <c r="M30" s="52">
        <f t="shared" si="6"/>
        <v>63584.570000000298</v>
      </c>
      <c r="N30" s="52">
        <f t="shared" si="6"/>
        <v>77375.429999999702</v>
      </c>
      <c r="O30" s="52">
        <f t="shared" si="6"/>
        <v>0</v>
      </c>
      <c r="P30" s="52">
        <f t="shared" si="6"/>
        <v>0</v>
      </c>
      <c r="Q30" s="52">
        <f t="shared" si="6"/>
        <v>0</v>
      </c>
      <c r="R30" s="52">
        <f t="shared" si="6"/>
        <v>0</v>
      </c>
      <c r="S30" s="52">
        <f t="shared" si="6"/>
        <v>0</v>
      </c>
      <c r="T30" s="52">
        <f t="shared" si="6"/>
        <v>0</v>
      </c>
    </row>
    <row r="31" spans="1:20">
      <c r="A31" s="32"/>
      <c r="B31" s="20" t="s">
        <v>69</v>
      </c>
      <c r="C31" s="38"/>
      <c r="D31" s="38"/>
      <c r="E31" s="38"/>
      <c r="F31" s="38"/>
      <c r="G31" s="10" t="s">
        <v>71</v>
      </c>
      <c r="H31" s="49">
        <f t="shared" si="1"/>
        <v>0</v>
      </c>
      <c r="I31" s="10"/>
      <c r="J31" s="10"/>
      <c r="K31" s="10"/>
      <c r="L31" s="15"/>
      <c r="M31" s="15"/>
      <c r="N31" s="15"/>
      <c r="O31" s="15"/>
      <c r="P31" s="15"/>
      <c r="Q31" s="15"/>
      <c r="R31" s="15"/>
      <c r="S31" s="15"/>
      <c r="T31" s="15"/>
    </row>
    <row r="32" spans="1:20">
      <c r="A32" s="32" t="s">
        <v>75</v>
      </c>
      <c r="B32" s="23" t="s">
        <v>70</v>
      </c>
      <c r="C32" s="28"/>
      <c r="D32" s="28"/>
      <c r="E32" s="28"/>
      <c r="F32" s="28"/>
      <c r="G32" s="10" t="s">
        <v>72</v>
      </c>
      <c r="H32" s="49">
        <f t="shared" si="1"/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>
      <c r="A33" s="33"/>
      <c r="B33" s="22" t="s">
        <v>73</v>
      </c>
      <c r="C33" s="34"/>
      <c r="D33" s="34"/>
      <c r="E33" s="34"/>
      <c r="F33" s="34"/>
      <c r="G33" s="10" t="s">
        <v>74</v>
      </c>
      <c r="H33" s="49">
        <f t="shared" si="1"/>
        <v>0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>
      <c r="A34" s="29"/>
      <c r="B34" s="30" t="s">
        <v>77</v>
      </c>
      <c r="C34" s="31"/>
      <c r="D34" s="31"/>
      <c r="E34" s="31"/>
      <c r="F34" s="31"/>
      <c r="G34" s="10" t="s">
        <v>78</v>
      </c>
      <c r="H34" s="49">
        <f t="shared" si="1"/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>
      <c r="A35" s="32" t="s">
        <v>76</v>
      </c>
      <c r="B35" s="23" t="s">
        <v>70</v>
      </c>
      <c r="C35" s="28"/>
      <c r="D35" s="28"/>
      <c r="E35" s="28"/>
      <c r="F35" s="28"/>
      <c r="G35" s="10" t="s">
        <v>72</v>
      </c>
      <c r="H35" s="49">
        <f t="shared" si="1"/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32"/>
      <c r="B36" s="22" t="s">
        <v>73</v>
      </c>
      <c r="C36" s="34"/>
      <c r="D36" s="34"/>
      <c r="E36" s="34"/>
      <c r="F36" s="34"/>
      <c r="G36" s="10" t="s">
        <v>74</v>
      </c>
      <c r="H36" s="49">
        <f t="shared" si="1"/>
        <v>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33"/>
      <c r="B37" s="23" t="s">
        <v>79</v>
      </c>
      <c r="C37" s="28"/>
      <c r="D37" s="28"/>
      <c r="E37" s="28"/>
      <c r="F37" s="28"/>
      <c r="G37" s="10" t="s">
        <v>80</v>
      </c>
      <c r="H37" s="49">
        <f t="shared" si="1"/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29"/>
      <c r="B38" s="30" t="s">
        <v>82</v>
      </c>
      <c r="C38" s="31"/>
      <c r="D38" s="31"/>
      <c r="E38" s="31"/>
      <c r="F38" s="31"/>
      <c r="G38" s="10" t="s">
        <v>83</v>
      </c>
      <c r="H38" s="49">
        <f t="shared" si="1"/>
        <v>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32"/>
      <c r="B39" s="23" t="s">
        <v>70</v>
      </c>
      <c r="C39" s="28"/>
      <c r="D39" s="28"/>
      <c r="E39" s="28"/>
      <c r="F39" s="28"/>
      <c r="G39" s="10" t="s">
        <v>72</v>
      </c>
      <c r="H39" s="49">
        <f t="shared" si="1"/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32" t="s">
        <v>81</v>
      </c>
      <c r="B40" s="22" t="s">
        <v>73</v>
      </c>
      <c r="C40" s="34"/>
      <c r="D40" s="34"/>
      <c r="E40" s="34"/>
      <c r="F40" s="34"/>
      <c r="G40" s="10" t="s">
        <v>74</v>
      </c>
      <c r="H40" s="49">
        <f t="shared" si="1"/>
        <v>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32"/>
      <c r="B41" s="23" t="s">
        <v>79</v>
      </c>
      <c r="C41" s="28"/>
      <c r="D41" s="28"/>
      <c r="E41" s="28"/>
      <c r="F41" s="28"/>
      <c r="G41" s="10" t="s">
        <v>80</v>
      </c>
      <c r="H41" s="49">
        <f t="shared" si="1"/>
        <v>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33"/>
      <c r="B42" s="23" t="s">
        <v>85</v>
      </c>
      <c r="C42" s="34"/>
      <c r="D42" s="34"/>
      <c r="E42" s="34"/>
      <c r="F42" s="34"/>
      <c r="G42" s="10" t="s">
        <v>84</v>
      </c>
      <c r="H42" s="49">
        <f t="shared" si="1"/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29"/>
      <c r="B43" s="23" t="s">
        <v>70</v>
      </c>
      <c r="C43" s="28"/>
      <c r="D43" s="28"/>
      <c r="E43" s="28"/>
      <c r="F43" s="28"/>
      <c r="G43" s="10" t="s">
        <v>72</v>
      </c>
      <c r="H43" s="49">
        <f t="shared" si="1"/>
        <v>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32"/>
      <c r="B44" s="22" t="s">
        <v>73</v>
      </c>
      <c r="C44" s="34"/>
      <c r="D44" s="34"/>
      <c r="E44" s="34"/>
      <c r="F44" s="34"/>
      <c r="G44" s="10" t="s">
        <v>74</v>
      </c>
      <c r="H44" s="49">
        <f t="shared" si="1"/>
        <v>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32" t="s">
        <v>86</v>
      </c>
      <c r="B45" s="23" t="s">
        <v>79</v>
      </c>
      <c r="C45" s="28"/>
      <c r="D45" s="28"/>
      <c r="E45" s="28"/>
      <c r="F45" s="28"/>
      <c r="G45" s="10" t="s">
        <v>80</v>
      </c>
      <c r="H45" s="49">
        <f t="shared" si="1"/>
        <v>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32"/>
      <c r="B46" s="23" t="s">
        <v>85</v>
      </c>
      <c r="C46" s="34"/>
      <c r="D46" s="34"/>
      <c r="E46" s="34"/>
      <c r="F46" s="34"/>
      <c r="G46" s="10" t="s">
        <v>84</v>
      </c>
      <c r="H46" s="49">
        <f t="shared" si="1"/>
        <v>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>
      <c r="A47" s="32"/>
      <c r="B47" s="23" t="s">
        <v>87</v>
      </c>
      <c r="C47" s="34"/>
      <c r="D47" s="34"/>
      <c r="E47" s="34"/>
      <c r="F47" s="34"/>
      <c r="G47" s="10" t="s">
        <v>88</v>
      </c>
      <c r="H47" s="49">
        <f t="shared" si="1"/>
        <v>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33"/>
      <c r="B48" s="23" t="s">
        <v>89</v>
      </c>
      <c r="C48" s="34"/>
      <c r="D48" s="34"/>
      <c r="E48" s="34"/>
      <c r="F48" s="34"/>
      <c r="G48" s="10" t="s">
        <v>90</v>
      </c>
      <c r="H48" s="49">
        <f>SUM(I48:T48)</f>
        <v>0</v>
      </c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49" spans="1:20" s="27" customFormat="1">
      <c r="A49" s="35" t="s">
        <v>91</v>
      </c>
      <c r="B49" s="36"/>
      <c r="C49" s="36" t="s">
        <v>536</v>
      </c>
      <c r="D49" s="36"/>
      <c r="E49" s="36"/>
      <c r="F49" s="36"/>
      <c r="G49" s="37"/>
      <c r="H49" s="49">
        <f>SUM(I49:T49)</f>
        <v>0</v>
      </c>
      <c r="I49" s="52">
        <f>SUM(I31:I48)</f>
        <v>0</v>
      </c>
      <c r="J49" s="52">
        <f t="shared" ref="J49:T49" si="7">SUM(J31:J48)</f>
        <v>0</v>
      </c>
      <c r="K49" s="52">
        <f t="shared" si="7"/>
        <v>0</v>
      </c>
      <c r="L49" s="52">
        <f t="shared" si="7"/>
        <v>0</v>
      </c>
      <c r="M49" s="52">
        <f t="shared" si="7"/>
        <v>0</v>
      </c>
      <c r="N49" s="52">
        <f t="shared" si="7"/>
        <v>0</v>
      </c>
      <c r="O49" s="52">
        <f t="shared" si="7"/>
        <v>0</v>
      </c>
      <c r="P49" s="52">
        <f t="shared" si="7"/>
        <v>0</v>
      </c>
      <c r="Q49" s="52">
        <f t="shared" si="7"/>
        <v>0</v>
      </c>
      <c r="R49" s="52">
        <f t="shared" si="7"/>
        <v>0</v>
      </c>
      <c r="S49" s="52">
        <f t="shared" si="7"/>
        <v>0</v>
      </c>
      <c r="T49" s="52">
        <f t="shared" si="7"/>
        <v>0</v>
      </c>
    </row>
    <row r="50" spans="1:20">
      <c r="A50" s="35" t="s">
        <v>103</v>
      </c>
      <c r="B50" s="28"/>
      <c r="C50" s="28"/>
      <c r="D50" s="28"/>
      <c r="E50" s="28"/>
      <c r="F50" s="28"/>
      <c r="G50" s="25"/>
      <c r="H50" s="49">
        <f>SUM(I50:T50)</f>
        <v>58634099.899999999</v>
      </c>
      <c r="I50" s="53">
        <f>I24+I27+I29-I49</f>
        <v>5284302.0699999994</v>
      </c>
      <c r="J50" s="53">
        <f t="shared" ref="J50:T50" si="8">J24+J27+J29-J49</f>
        <v>5385680.8599999994</v>
      </c>
      <c r="K50" s="53">
        <f t="shared" si="8"/>
        <v>5135738.9000000004</v>
      </c>
      <c r="L50" s="53">
        <f t="shared" si="8"/>
        <v>5407951.3800000008</v>
      </c>
      <c r="M50" s="53">
        <f t="shared" si="8"/>
        <v>5277195.88</v>
      </c>
      <c r="N50" s="53">
        <f t="shared" si="8"/>
        <v>5046225.57</v>
      </c>
      <c r="O50" s="53">
        <f t="shared" si="8"/>
        <v>8446901.4600000009</v>
      </c>
      <c r="P50" s="53">
        <f t="shared" si="8"/>
        <v>3936544.64</v>
      </c>
      <c r="Q50" s="53">
        <f t="shared" si="8"/>
        <v>3713269.4099999992</v>
      </c>
      <c r="R50" s="53">
        <f t="shared" si="8"/>
        <v>3690050.3800000008</v>
      </c>
      <c r="S50" s="53">
        <f t="shared" si="8"/>
        <v>3665722.6599999992</v>
      </c>
      <c r="T50" s="53">
        <f t="shared" si="8"/>
        <v>3644516.6900000004</v>
      </c>
    </row>
    <row r="51" spans="1:20">
      <c r="A51" s="3" t="s">
        <v>540</v>
      </c>
    </row>
    <row r="53" spans="1:20" s="60" customFormat="1" ht="11.25">
      <c r="A53" s="57"/>
      <c r="B53" s="58" t="s">
        <v>109</v>
      </c>
      <c r="C53" s="57"/>
      <c r="D53" s="57"/>
      <c r="E53" s="59" t="s">
        <v>110</v>
      </c>
      <c r="F53" s="59"/>
      <c r="H53" s="58"/>
      <c r="I53" s="61" t="s">
        <v>111</v>
      </c>
    </row>
    <row r="54" spans="1:20" s="62" customFormat="1" ht="11.25">
      <c r="A54" s="57"/>
      <c r="B54" s="58" t="s">
        <v>112</v>
      </c>
      <c r="C54" s="57"/>
      <c r="D54" s="57"/>
      <c r="E54" s="59" t="s">
        <v>113</v>
      </c>
      <c r="F54" s="59"/>
      <c r="G54" s="60"/>
      <c r="H54" s="58"/>
      <c r="I54" s="61" t="s">
        <v>114</v>
      </c>
      <c r="K54" s="60"/>
      <c r="L54" s="63"/>
      <c r="N54" s="64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2:Q59"/>
  <sheetViews>
    <sheetView workbookViewId="0">
      <selection activeCell="M1" sqref="M1"/>
    </sheetView>
  </sheetViews>
  <sheetFormatPr defaultRowHeight="8.25"/>
  <cols>
    <col min="1" max="1" width="2.42578125" style="62" customWidth="1"/>
    <col min="2" max="2" width="16.7109375" style="62" customWidth="1"/>
    <col min="3" max="3" width="9.85546875" style="62" customWidth="1"/>
    <col min="4" max="4" width="9.42578125" style="62" customWidth="1"/>
    <col min="5" max="5" width="9" style="62" customWidth="1"/>
    <col min="6" max="6" width="8.7109375" style="62" customWidth="1"/>
    <col min="7" max="7" width="8.5703125" style="62" customWidth="1"/>
    <col min="8" max="9" width="9" style="62" customWidth="1"/>
    <col min="10" max="10" width="8.85546875" style="62" bestFit="1" customWidth="1"/>
    <col min="11" max="11" width="8.7109375" style="62" bestFit="1" customWidth="1"/>
    <col min="12" max="12" width="9" style="62" bestFit="1" customWidth="1"/>
    <col min="13" max="13" width="8.7109375" style="62" customWidth="1"/>
    <col min="14" max="15" width="8.85546875" style="62" bestFit="1" customWidth="1"/>
    <col min="16" max="18" width="9.140625" style="62"/>
    <col min="19" max="19" width="24.140625" style="62" bestFit="1" customWidth="1"/>
    <col min="20" max="20" width="10.42578125" style="62" customWidth="1"/>
    <col min="21" max="21" width="10.28515625" style="62" customWidth="1"/>
    <col min="22" max="256" width="9.140625" style="62"/>
    <col min="257" max="257" width="6.140625" style="62" customWidth="1"/>
    <col min="258" max="258" width="16.7109375" style="62" customWidth="1"/>
    <col min="259" max="260" width="9.85546875" style="62" bestFit="1" customWidth="1"/>
    <col min="261" max="261" width="9.140625" style="62" bestFit="1" customWidth="1"/>
    <col min="262" max="262" width="9.140625" style="62"/>
    <col min="263" max="263" width="9" style="62" customWidth="1"/>
    <col min="264" max="264" width="9.140625" style="62" bestFit="1" customWidth="1"/>
    <col min="265" max="265" width="9" style="62" customWidth="1"/>
    <col min="266" max="266" width="8.85546875" style="62" bestFit="1" customWidth="1"/>
    <col min="267" max="267" width="9.140625" style="62"/>
    <col min="268" max="268" width="8.85546875" style="62" bestFit="1" customWidth="1"/>
    <col min="269" max="269" width="9" style="62" bestFit="1" customWidth="1"/>
    <col min="270" max="270" width="9" style="62" customWidth="1"/>
    <col min="271" max="271" width="8.85546875" style="62" bestFit="1" customWidth="1"/>
    <col min="272" max="274" width="9.140625" style="62"/>
    <col min="275" max="275" width="24.140625" style="62" bestFit="1" customWidth="1"/>
    <col min="276" max="276" width="10.42578125" style="62" customWidth="1"/>
    <col min="277" max="277" width="10.28515625" style="62" customWidth="1"/>
    <col min="278" max="512" width="9.140625" style="62"/>
    <col min="513" max="513" width="6.140625" style="62" customWidth="1"/>
    <col min="514" max="514" width="16.7109375" style="62" customWidth="1"/>
    <col min="515" max="516" width="9.85546875" style="62" bestFit="1" customWidth="1"/>
    <col min="517" max="517" width="9.140625" style="62" bestFit="1" customWidth="1"/>
    <col min="518" max="518" width="9.140625" style="62"/>
    <col min="519" max="519" width="9" style="62" customWidth="1"/>
    <col min="520" max="520" width="9.140625" style="62" bestFit="1" customWidth="1"/>
    <col min="521" max="521" width="9" style="62" customWidth="1"/>
    <col min="522" max="522" width="8.85546875" style="62" bestFit="1" customWidth="1"/>
    <col min="523" max="523" width="9.140625" style="62"/>
    <col min="524" max="524" width="8.85546875" style="62" bestFit="1" customWidth="1"/>
    <col min="525" max="525" width="9" style="62" bestFit="1" customWidth="1"/>
    <col min="526" max="526" width="9" style="62" customWidth="1"/>
    <col min="527" max="527" width="8.85546875" style="62" bestFit="1" customWidth="1"/>
    <col min="528" max="530" width="9.140625" style="62"/>
    <col min="531" max="531" width="24.140625" style="62" bestFit="1" customWidth="1"/>
    <col min="532" max="532" width="10.42578125" style="62" customWidth="1"/>
    <col min="533" max="533" width="10.28515625" style="62" customWidth="1"/>
    <col min="534" max="768" width="9.140625" style="62"/>
    <col min="769" max="769" width="6.140625" style="62" customWidth="1"/>
    <col min="770" max="770" width="16.7109375" style="62" customWidth="1"/>
    <col min="771" max="772" width="9.85546875" style="62" bestFit="1" customWidth="1"/>
    <col min="773" max="773" width="9.140625" style="62" bestFit="1" customWidth="1"/>
    <col min="774" max="774" width="9.140625" style="62"/>
    <col min="775" max="775" width="9" style="62" customWidth="1"/>
    <col min="776" max="776" width="9.140625" style="62" bestFit="1" customWidth="1"/>
    <col min="777" max="777" width="9" style="62" customWidth="1"/>
    <col min="778" max="778" width="8.85546875" style="62" bestFit="1" customWidth="1"/>
    <col min="779" max="779" width="9.140625" style="62"/>
    <col min="780" max="780" width="8.85546875" style="62" bestFit="1" customWidth="1"/>
    <col min="781" max="781" width="9" style="62" bestFit="1" customWidth="1"/>
    <col min="782" max="782" width="9" style="62" customWidth="1"/>
    <col min="783" max="783" width="8.85546875" style="62" bestFit="1" customWidth="1"/>
    <col min="784" max="786" width="9.140625" style="62"/>
    <col min="787" max="787" width="24.140625" style="62" bestFit="1" customWidth="1"/>
    <col min="788" max="788" width="10.42578125" style="62" customWidth="1"/>
    <col min="789" max="789" width="10.28515625" style="62" customWidth="1"/>
    <col min="790" max="1024" width="9.140625" style="62"/>
    <col min="1025" max="1025" width="6.140625" style="62" customWidth="1"/>
    <col min="1026" max="1026" width="16.7109375" style="62" customWidth="1"/>
    <col min="1027" max="1028" width="9.85546875" style="62" bestFit="1" customWidth="1"/>
    <col min="1029" max="1029" width="9.140625" style="62" bestFit="1" customWidth="1"/>
    <col min="1030" max="1030" width="9.140625" style="62"/>
    <col min="1031" max="1031" width="9" style="62" customWidth="1"/>
    <col min="1032" max="1032" width="9.140625" style="62" bestFit="1" customWidth="1"/>
    <col min="1033" max="1033" width="9" style="62" customWidth="1"/>
    <col min="1034" max="1034" width="8.85546875" style="62" bestFit="1" customWidth="1"/>
    <col min="1035" max="1035" width="9.140625" style="62"/>
    <col min="1036" max="1036" width="8.85546875" style="62" bestFit="1" customWidth="1"/>
    <col min="1037" max="1037" width="9" style="62" bestFit="1" customWidth="1"/>
    <col min="1038" max="1038" width="9" style="62" customWidth="1"/>
    <col min="1039" max="1039" width="8.85546875" style="62" bestFit="1" customWidth="1"/>
    <col min="1040" max="1042" width="9.140625" style="62"/>
    <col min="1043" max="1043" width="24.140625" style="62" bestFit="1" customWidth="1"/>
    <col min="1044" max="1044" width="10.42578125" style="62" customWidth="1"/>
    <col min="1045" max="1045" width="10.28515625" style="62" customWidth="1"/>
    <col min="1046" max="1280" width="9.140625" style="62"/>
    <col min="1281" max="1281" width="6.140625" style="62" customWidth="1"/>
    <col min="1282" max="1282" width="16.7109375" style="62" customWidth="1"/>
    <col min="1283" max="1284" width="9.85546875" style="62" bestFit="1" customWidth="1"/>
    <col min="1285" max="1285" width="9.140625" style="62" bestFit="1" customWidth="1"/>
    <col min="1286" max="1286" width="9.140625" style="62"/>
    <col min="1287" max="1287" width="9" style="62" customWidth="1"/>
    <col min="1288" max="1288" width="9.140625" style="62" bestFit="1" customWidth="1"/>
    <col min="1289" max="1289" width="9" style="62" customWidth="1"/>
    <col min="1290" max="1290" width="8.85546875" style="62" bestFit="1" customWidth="1"/>
    <col min="1291" max="1291" width="9.140625" style="62"/>
    <col min="1292" max="1292" width="8.85546875" style="62" bestFit="1" customWidth="1"/>
    <col min="1293" max="1293" width="9" style="62" bestFit="1" customWidth="1"/>
    <col min="1294" max="1294" width="9" style="62" customWidth="1"/>
    <col min="1295" max="1295" width="8.85546875" style="62" bestFit="1" customWidth="1"/>
    <col min="1296" max="1298" width="9.140625" style="62"/>
    <col min="1299" max="1299" width="24.140625" style="62" bestFit="1" customWidth="1"/>
    <col min="1300" max="1300" width="10.42578125" style="62" customWidth="1"/>
    <col min="1301" max="1301" width="10.28515625" style="62" customWidth="1"/>
    <col min="1302" max="1536" width="9.140625" style="62"/>
    <col min="1537" max="1537" width="6.140625" style="62" customWidth="1"/>
    <col min="1538" max="1538" width="16.7109375" style="62" customWidth="1"/>
    <col min="1539" max="1540" width="9.85546875" style="62" bestFit="1" customWidth="1"/>
    <col min="1541" max="1541" width="9.140625" style="62" bestFit="1" customWidth="1"/>
    <col min="1542" max="1542" width="9.140625" style="62"/>
    <col min="1543" max="1543" width="9" style="62" customWidth="1"/>
    <col min="1544" max="1544" width="9.140625" style="62" bestFit="1" customWidth="1"/>
    <col min="1545" max="1545" width="9" style="62" customWidth="1"/>
    <col min="1546" max="1546" width="8.85546875" style="62" bestFit="1" customWidth="1"/>
    <col min="1547" max="1547" width="9.140625" style="62"/>
    <col min="1548" max="1548" width="8.85546875" style="62" bestFit="1" customWidth="1"/>
    <col min="1549" max="1549" width="9" style="62" bestFit="1" customWidth="1"/>
    <col min="1550" max="1550" width="9" style="62" customWidth="1"/>
    <col min="1551" max="1551" width="8.85546875" style="62" bestFit="1" customWidth="1"/>
    <col min="1552" max="1554" width="9.140625" style="62"/>
    <col min="1555" max="1555" width="24.140625" style="62" bestFit="1" customWidth="1"/>
    <col min="1556" max="1556" width="10.42578125" style="62" customWidth="1"/>
    <col min="1557" max="1557" width="10.28515625" style="62" customWidth="1"/>
    <col min="1558" max="1792" width="9.140625" style="62"/>
    <col min="1793" max="1793" width="6.140625" style="62" customWidth="1"/>
    <col min="1794" max="1794" width="16.7109375" style="62" customWidth="1"/>
    <col min="1795" max="1796" width="9.85546875" style="62" bestFit="1" customWidth="1"/>
    <col min="1797" max="1797" width="9.140625" style="62" bestFit="1" customWidth="1"/>
    <col min="1798" max="1798" width="9.140625" style="62"/>
    <col min="1799" max="1799" width="9" style="62" customWidth="1"/>
    <col min="1800" max="1800" width="9.140625" style="62" bestFit="1" customWidth="1"/>
    <col min="1801" max="1801" width="9" style="62" customWidth="1"/>
    <col min="1802" max="1802" width="8.85546875" style="62" bestFit="1" customWidth="1"/>
    <col min="1803" max="1803" width="9.140625" style="62"/>
    <col min="1804" max="1804" width="8.85546875" style="62" bestFit="1" customWidth="1"/>
    <col min="1805" max="1805" width="9" style="62" bestFit="1" customWidth="1"/>
    <col min="1806" max="1806" width="9" style="62" customWidth="1"/>
    <col min="1807" max="1807" width="8.85546875" style="62" bestFit="1" customWidth="1"/>
    <col min="1808" max="1810" width="9.140625" style="62"/>
    <col min="1811" max="1811" width="24.140625" style="62" bestFit="1" customWidth="1"/>
    <col min="1812" max="1812" width="10.42578125" style="62" customWidth="1"/>
    <col min="1813" max="1813" width="10.28515625" style="62" customWidth="1"/>
    <col min="1814" max="2048" width="9.140625" style="62"/>
    <col min="2049" max="2049" width="6.140625" style="62" customWidth="1"/>
    <col min="2050" max="2050" width="16.7109375" style="62" customWidth="1"/>
    <col min="2051" max="2052" width="9.85546875" style="62" bestFit="1" customWidth="1"/>
    <col min="2053" max="2053" width="9.140625" style="62" bestFit="1" customWidth="1"/>
    <col min="2054" max="2054" width="9.140625" style="62"/>
    <col min="2055" max="2055" width="9" style="62" customWidth="1"/>
    <col min="2056" max="2056" width="9.140625" style="62" bestFit="1" customWidth="1"/>
    <col min="2057" max="2057" width="9" style="62" customWidth="1"/>
    <col min="2058" max="2058" width="8.85546875" style="62" bestFit="1" customWidth="1"/>
    <col min="2059" max="2059" width="9.140625" style="62"/>
    <col min="2060" max="2060" width="8.85546875" style="62" bestFit="1" customWidth="1"/>
    <col min="2061" max="2061" width="9" style="62" bestFit="1" customWidth="1"/>
    <col min="2062" max="2062" width="9" style="62" customWidth="1"/>
    <col min="2063" max="2063" width="8.85546875" style="62" bestFit="1" customWidth="1"/>
    <col min="2064" max="2066" width="9.140625" style="62"/>
    <col min="2067" max="2067" width="24.140625" style="62" bestFit="1" customWidth="1"/>
    <col min="2068" max="2068" width="10.42578125" style="62" customWidth="1"/>
    <col min="2069" max="2069" width="10.28515625" style="62" customWidth="1"/>
    <col min="2070" max="2304" width="9.140625" style="62"/>
    <col min="2305" max="2305" width="6.140625" style="62" customWidth="1"/>
    <col min="2306" max="2306" width="16.7109375" style="62" customWidth="1"/>
    <col min="2307" max="2308" width="9.85546875" style="62" bestFit="1" customWidth="1"/>
    <col min="2309" max="2309" width="9.140625" style="62" bestFit="1" customWidth="1"/>
    <col min="2310" max="2310" width="9.140625" style="62"/>
    <col min="2311" max="2311" width="9" style="62" customWidth="1"/>
    <col min="2312" max="2312" width="9.140625" style="62" bestFit="1" customWidth="1"/>
    <col min="2313" max="2313" width="9" style="62" customWidth="1"/>
    <col min="2314" max="2314" width="8.85546875" style="62" bestFit="1" customWidth="1"/>
    <col min="2315" max="2315" width="9.140625" style="62"/>
    <col min="2316" max="2316" width="8.85546875" style="62" bestFit="1" customWidth="1"/>
    <col min="2317" max="2317" width="9" style="62" bestFit="1" customWidth="1"/>
    <col min="2318" max="2318" width="9" style="62" customWidth="1"/>
    <col min="2319" max="2319" width="8.85546875" style="62" bestFit="1" customWidth="1"/>
    <col min="2320" max="2322" width="9.140625" style="62"/>
    <col min="2323" max="2323" width="24.140625" style="62" bestFit="1" customWidth="1"/>
    <col min="2324" max="2324" width="10.42578125" style="62" customWidth="1"/>
    <col min="2325" max="2325" width="10.28515625" style="62" customWidth="1"/>
    <col min="2326" max="2560" width="9.140625" style="62"/>
    <col min="2561" max="2561" width="6.140625" style="62" customWidth="1"/>
    <col min="2562" max="2562" width="16.7109375" style="62" customWidth="1"/>
    <col min="2563" max="2564" width="9.85546875" style="62" bestFit="1" customWidth="1"/>
    <col min="2565" max="2565" width="9.140625" style="62" bestFit="1" customWidth="1"/>
    <col min="2566" max="2566" width="9.140625" style="62"/>
    <col min="2567" max="2567" width="9" style="62" customWidth="1"/>
    <col min="2568" max="2568" width="9.140625" style="62" bestFit="1" customWidth="1"/>
    <col min="2569" max="2569" width="9" style="62" customWidth="1"/>
    <col min="2570" max="2570" width="8.85546875" style="62" bestFit="1" customWidth="1"/>
    <col min="2571" max="2571" width="9.140625" style="62"/>
    <col min="2572" max="2572" width="8.85546875" style="62" bestFit="1" customWidth="1"/>
    <col min="2573" max="2573" width="9" style="62" bestFit="1" customWidth="1"/>
    <col min="2574" max="2574" width="9" style="62" customWidth="1"/>
    <col min="2575" max="2575" width="8.85546875" style="62" bestFit="1" customWidth="1"/>
    <col min="2576" max="2578" width="9.140625" style="62"/>
    <col min="2579" max="2579" width="24.140625" style="62" bestFit="1" customWidth="1"/>
    <col min="2580" max="2580" width="10.42578125" style="62" customWidth="1"/>
    <col min="2581" max="2581" width="10.28515625" style="62" customWidth="1"/>
    <col min="2582" max="2816" width="9.140625" style="62"/>
    <col min="2817" max="2817" width="6.140625" style="62" customWidth="1"/>
    <col min="2818" max="2818" width="16.7109375" style="62" customWidth="1"/>
    <col min="2819" max="2820" width="9.85546875" style="62" bestFit="1" customWidth="1"/>
    <col min="2821" max="2821" width="9.140625" style="62" bestFit="1" customWidth="1"/>
    <col min="2822" max="2822" width="9.140625" style="62"/>
    <col min="2823" max="2823" width="9" style="62" customWidth="1"/>
    <col min="2824" max="2824" width="9.140625" style="62" bestFit="1" customWidth="1"/>
    <col min="2825" max="2825" width="9" style="62" customWidth="1"/>
    <col min="2826" max="2826" width="8.85546875" style="62" bestFit="1" customWidth="1"/>
    <col min="2827" max="2827" width="9.140625" style="62"/>
    <col min="2828" max="2828" width="8.85546875" style="62" bestFit="1" customWidth="1"/>
    <col min="2829" max="2829" width="9" style="62" bestFit="1" customWidth="1"/>
    <col min="2830" max="2830" width="9" style="62" customWidth="1"/>
    <col min="2831" max="2831" width="8.85546875" style="62" bestFit="1" customWidth="1"/>
    <col min="2832" max="2834" width="9.140625" style="62"/>
    <col min="2835" max="2835" width="24.140625" style="62" bestFit="1" customWidth="1"/>
    <col min="2836" max="2836" width="10.42578125" style="62" customWidth="1"/>
    <col min="2837" max="2837" width="10.28515625" style="62" customWidth="1"/>
    <col min="2838" max="3072" width="9.140625" style="62"/>
    <col min="3073" max="3073" width="6.140625" style="62" customWidth="1"/>
    <col min="3074" max="3074" width="16.7109375" style="62" customWidth="1"/>
    <col min="3075" max="3076" width="9.85546875" style="62" bestFit="1" customWidth="1"/>
    <col min="3077" max="3077" width="9.140625" style="62" bestFit="1" customWidth="1"/>
    <col min="3078" max="3078" width="9.140625" style="62"/>
    <col min="3079" max="3079" width="9" style="62" customWidth="1"/>
    <col min="3080" max="3080" width="9.140625" style="62" bestFit="1" customWidth="1"/>
    <col min="3081" max="3081" width="9" style="62" customWidth="1"/>
    <col min="3082" max="3082" width="8.85546875" style="62" bestFit="1" customWidth="1"/>
    <col min="3083" max="3083" width="9.140625" style="62"/>
    <col min="3084" max="3084" width="8.85546875" style="62" bestFit="1" customWidth="1"/>
    <col min="3085" max="3085" width="9" style="62" bestFit="1" customWidth="1"/>
    <col min="3086" max="3086" width="9" style="62" customWidth="1"/>
    <col min="3087" max="3087" width="8.85546875" style="62" bestFit="1" customWidth="1"/>
    <col min="3088" max="3090" width="9.140625" style="62"/>
    <col min="3091" max="3091" width="24.140625" style="62" bestFit="1" customWidth="1"/>
    <col min="3092" max="3092" width="10.42578125" style="62" customWidth="1"/>
    <col min="3093" max="3093" width="10.28515625" style="62" customWidth="1"/>
    <col min="3094" max="3328" width="9.140625" style="62"/>
    <col min="3329" max="3329" width="6.140625" style="62" customWidth="1"/>
    <col min="3330" max="3330" width="16.7109375" style="62" customWidth="1"/>
    <col min="3331" max="3332" width="9.85546875" style="62" bestFit="1" customWidth="1"/>
    <col min="3333" max="3333" width="9.140625" style="62" bestFit="1" customWidth="1"/>
    <col min="3334" max="3334" width="9.140625" style="62"/>
    <col min="3335" max="3335" width="9" style="62" customWidth="1"/>
    <col min="3336" max="3336" width="9.140625" style="62" bestFit="1" customWidth="1"/>
    <col min="3337" max="3337" width="9" style="62" customWidth="1"/>
    <col min="3338" max="3338" width="8.85546875" style="62" bestFit="1" customWidth="1"/>
    <col min="3339" max="3339" width="9.140625" style="62"/>
    <col min="3340" max="3340" width="8.85546875" style="62" bestFit="1" customWidth="1"/>
    <col min="3341" max="3341" width="9" style="62" bestFit="1" customWidth="1"/>
    <col min="3342" max="3342" width="9" style="62" customWidth="1"/>
    <col min="3343" max="3343" width="8.85546875" style="62" bestFit="1" customWidth="1"/>
    <col min="3344" max="3346" width="9.140625" style="62"/>
    <col min="3347" max="3347" width="24.140625" style="62" bestFit="1" customWidth="1"/>
    <col min="3348" max="3348" width="10.42578125" style="62" customWidth="1"/>
    <col min="3349" max="3349" width="10.28515625" style="62" customWidth="1"/>
    <col min="3350" max="3584" width="9.140625" style="62"/>
    <col min="3585" max="3585" width="6.140625" style="62" customWidth="1"/>
    <col min="3586" max="3586" width="16.7109375" style="62" customWidth="1"/>
    <col min="3587" max="3588" width="9.85546875" style="62" bestFit="1" customWidth="1"/>
    <col min="3589" max="3589" width="9.140625" style="62" bestFit="1" customWidth="1"/>
    <col min="3590" max="3590" width="9.140625" style="62"/>
    <col min="3591" max="3591" width="9" style="62" customWidth="1"/>
    <col min="3592" max="3592" width="9.140625" style="62" bestFit="1" customWidth="1"/>
    <col min="3593" max="3593" width="9" style="62" customWidth="1"/>
    <col min="3594" max="3594" width="8.85546875" style="62" bestFit="1" customWidth="1"/>
    <col min="3595" max="3595" width="9.140625" style="62"/>
    <col min="3596" max="3596" width="8.85546875" style="62" bestFit="1" customWidth="1"/>
    <col min="3597" max="3597" width="9" style="62" bestFit="1" customWidth="1"/>
    <col min="3598" max="3598" width="9" style="62" customWidth="1"/>
    <col min="3599" max="3599" width="8.85546875" style="62" bestFit="1" customWidth="1"/>
    <col min="3600" max="3602" width="9.140625" style="62"/>
    <col min="3603" max="3603" width="24.140625" style="62" bestFit="1" customWidth="1"/>
    <col min="3604" max="3604" width="10.42578125" style="62" customWidth="1"/>
    <col min="3605" max="3605" width="10.28515625" style="62" customWidth="1"/>
    <col min="3606" max="3840" width="9.140625" style="62"/>
    <col min="3841" max="3841" width="6.140625" style="62" customWidth="1"/>
    <col min="3842" max="3842" width="16.7109375" style="62" customWidth="1"/>
    <col min="3843" max="3844" width="9.85546875" style="62" bestFit="1" customWidth="1"/>
    <col min="3845" max="3845" width="9.140625" style="62" bestFit="1" customWidth="1"/>
    <col min="3846" max="3846" width="9.140625" style="62"/>
    <col min="3847" max="3847" width="9" style="62" customWidth="1"/>
    <col min="3848" max="3848" width="9.140625" style="62" bestFit="1" customWidth="1"/>
    <col min="3849" max="3849" width="9" style="62" customWidth="1"/>
    <col min="3850" max="3850" width="8.85546875" style="62" bestFit="1" customWidth="1"/>
    <col min="3851" max="3851" width="9.140625" style="62"/>
    <col min="3852" max="3852" width="8.85546875" style="62" bestFit="1" customWidth="1"/>
    <col min="3853" max="3853" width="9" style="62" bestFit="1" customWidth="1"/>
    <col min="3854" max="3854" width="9" style="62" customWidth="1"/>
    <col min="3855" max="3855" width="8.85546875" style="62" bestFit="1" customWidth="1"/>
    <col min="3856" max="3858" width="9.140625" style="62"/>
    <col min="3859" max="3859" width="24.140625" style="62" bestFit="1" customWidth="1"/>
    <col min="3860" max="3860" width="10.42578125" style="62" customWidth="1"/>
    <col min="3861" max="3861" width="10.28515625" style="62" customWidth="1"/>
    <col min="3862" max="4096" width="9.140625" style="62"/>
    <col min="4097" max="4097" width="6.140625" style="62" customWidth="1"/>
    <col min="4098" max="4098" width="16.7109375" style="62" customWidth="1"/>
    <col min="4099" max="4100" width="9.85546875" style="62" bestFit="1" customWidth="1"/>
    <col min="4101" max="4101" width="9.140625" style="62" bestFit="1" customWidth="1"/>
    <col min="4102" max="4102" width="9.140625" style="62"/>
    <col min="4103" max="4103" width="9" style="62" customWidth="1"/>
    <col min="4104" max="4104" width="9.140625" style="62" bestFit="1" customWidth="1"/>
    <col min="4105" max="4105" width="9" style="62" customWidth="1"/>
    <col min="4106" max="4106" width="8.85546875" style="62" bestFit="1" customWidth="1"/>
    <col min="4107" max="4107" width="9.140625" style="62"/>
    <col min="4108" max="4108" width="8.85546875" style="62" bestFit="1" customWidth="1"/>
    <col min="4109" max="4109" width="9" style="62" bestFit="1" customWidth="1"/>
    <col min="4110" max="4110" width="9" style="62" customWidth="1"/>
    <col min="4111" max="4111" width="8.85546875" style="62" bestFit="1" customWidth="1"/>
    <col min="4112" max="4114" width="9.140625" style="62"/>
    <col min="4115" max="4115" width="24.140625" style="62" bestFit="1" customWidth="1"/>
    <col min="4116" max="4116" width="10.42578125" style="62" customWidth="1"/>
    <col min="4117" max="4117" width="10.28515625" style="62" customWidth="1"/>
    <col min="4118" max="4352" width="9.140625" style="62"/>
    <col min="4353" max="4353" width="6.140625" style="62" customWidth="1"/>
    <col min="4354" max="4354" width="16.7109375" style="62" customWidth="1"/>
    <col min="4355" max="4356" width="9.85546875" style="62" bestFit="1" customWidth="1"/>
    <col min="4357" max="4357" width="9.140625" style="62" bestFit="1" customWidth="1"/>
    <col min="4358" max="4358" width="9.140625" style="62"/>
    <col min="4359" max="4359" width="9" style="62" customWidth="1"/>
    <col min="4360" max="4360" width="9.140625" style="62" bestFit="1" customWidth="1"/>
    <col min="4361" max="4361" width="9" style="62" customWidth="1"/>
    <col min="4362" max="4362" width="8.85546875" style="62" bestFit="1" customWidth="1"/>
    <col min="4363" max="4363" width="9.140625" style="62"/>
    <col min="4364" max="4364" width="8.85546875" style="62" bestFit="1" customWidth="1"/>
    <col min="4365" max="4365" width="9" style="62" bestFit="1" customWidth="1"/>
    <col min="4366" max="4366" width="9" style="62" customWidth="1"/>
    <col min="4367" max="4367" width="8.85546875" style="62" bestFit="1" customWidth="1"/>
    <col min="4368" max="4370" width="9.140625" style="62"/>
    <col min="4371" max="4371" width="24.140625" style="62" bestFit="1" customWidth="1"/>
    <col min="4372" max="4372" width="10.42578125" style="62" customWidth="1"/>
    <col min="4373" max="4373" width="10.28515625" style="62" customWidth="1"/>
    <col min="4374" max="4608" width="9.140625" style="62"/>
    <col min="4609" max="4609" width="6.140625" style="62" customWidth="1"/>
    <col min="4610" max="4610" width="16.7109375" style="62" customWidth="1"/>
    <col min="4611" max="4612" width="9.85546875" style="62" bestFit="1" customWidth="1"/>
    <col min="4613" max="4613" width="9.140625" style="62" bestFit="1" customWidth="1"/>
    <col min="4614" max="4614" width="9.140625" style="62"/>
    <col min="4615" max="4615" width="9" style="62" customWidth="1"/>
    <col min="4616" max="4616" width="9.140625" style="62" bestFit="1" customWidth="1"/>
    <col min="4617" max="4617" width="9" style="62" customWidth="1"/>
    <col min="4618" max="4618" width="8.85546875" style="62" bestFit="1" customWidth="1"/>
    <col min="4619" max="4619" width="9.140625" style="62"/>
    <col min="4620" max="4620" width="8.85546875" style="62" bestFit="1" customWidth="1"/>
    <col min="4621" max="4621" width="9" style="62" bestFit="1" customWidth="1"/>
    <col min="4622" max="4622" width="9" style="62" customWidth="1"/>
    <col min="4623" max="4623" width="8.85546875" style="62" bestFit="1" customWidth="1"/>
    <col min="4624" max="4626" width="9.140625" style="62"/>
    <col min="4627" max="4627" width="24.140625" style="62" bestFit="1" customWidth="1"/>
    <col min="4628" max="4628" width="10.42578125" style="62" customWidth="1"/>
    <col min="4629" max="4629" width="10.28515625" style="62" customWidth="1"/>
    <col min="4630" max="4864" width="9.140625" style="62"/>
    <col min="4865" max="4865" width="6.140625" style="62" customWidth="1"/>
    <col min="4866" max="4866" width="16.7109375" style="62" customWidth="1"/>
    <col min="4867" max="4868" width="9.85546875" style="62" bestFit="1" customWidth="1"/>
    <col min="4869" max="4869" width="9.140625" style="62" bestFit="1" customWidth="1"/>
    <col min="4870" max="4870" width="9.140625" style="62"/>
    <col min="4871" max="4871" width="9" style="62" customWidth="1"/>
    <col min="4872" max="4872" width="9.140625" style="62" bestFit="1" customWidth="1"/>
    <col min="4873" max="4873" width="9" style="62" customWidth="1"/>
    <col min="4874" max="4874" width="8.85546875" style="62" bestFit="1" customWidth="1"/>
    <col min="4875" max="4875" width="9.140625" style="62"/>
    <col min="4876" max="4876" width="8.85546875" style="62" bestFit="1" customWidth="1"/>
    <col min="4877" max="4877" width="9" style="62" bestFit="1" customWidth="1"/>
    <col min="4878" max="4878" width="9" style="62" customWidth="1"/>
    <col min="4879" max="4879" width="8.85546875" style="62" bestFit="1" customWidth="1"/>
    <col min="4880" max="4882" width="9.140625" style="62"/>
    <col min="4883" max="4883" width="24.140625" style="62" bestFit="1" customWidth="1"/>
    <col min="4884" max="4884" width="10.42578125" style="62" customWidth="1"/>
    <col min="4885" max="4885" width="10.28515625" style="62" customWidth="1"/>
    <col min="4886" max="5120" width="9.140625" style="62"/>
    <col min="5121" max="5121" width="6.140625" style="62" customWidth="1"/>
    <col min="5122" max="5122" width="16.7109375" style="62" customWidth="1"/>
    <col min="5123" max="5124" width="9.85546875" style="62" bestFit="1" customWidth="1"/>
    <col min="5125" max="5125" width="9.140625" style="62" bestFit="1" customWidth="1"/>
    <col min="5126" max="5126" width="9.140625" style="62"/>
    <col min="5127" max="5127" width="9" style="62" customWidth="1"/>
    <col min="5128" max="5128" width="9.140625" style="62" bestFit="1" customWidth="1"/>
    <col min="5129" max="5129" width="9" style="62" customWidth="1"/>
    <col min="5130" max="5130" width="8.85546875" style="62" bestFit="1" customWidth="1"/>
    <col min="5131" max="5131" width="9.140625" style="62"/>
    <col min="5132" max="5132" width="8.85546875" style="62" bestFit="1" customWidth="1"/>
    <col min="5133" max="5133" width="9" style="62" bestFit="1" customWidth="1"/>
    <col min="5134" max="5134" width="9" style="62" customWidth="1"/>
    <col min="5135" max="5135" width="8.85546875" style="62" bestFit="1" customWidth="1"/>
    <col min="5136" max="5138" width="9.140625" style="62"/>
    <col min="5139" max="5139" width="24.140625" style="62" bestFit="1" customWidth="1"/>
    <col min="5140" max="5140" width="10.42578125" style="62" customWidth="1"/>
    <col min="5141" max="5141" width="10.28515625" style="62" customWidth="1"/>
    <col min="5142" max="5376" width="9.140625" style="62"/>
    <col min="5377" max="5377" width="6.140625" style="62" customWidth="1"/>
    <col min="5378" max="5378" width="16.7109375" style="62" customWidth="1"/>
    <col min="5379" max="5380" width="9.85546875" style="62" bestFit="1" customWidth="1"/>
    <col min="5381" max="5381" width="9.140625" style="62" bestFit="1" customWidth="1"/>
    <col min="5382" max="5382" width="9.140625" style="62"/>
    <col min="5383" max="5383" width="9" style="62" customWidth="1"/>
    <col min="5384" max="5384" width="9.140625" style="62" bestFit="1" customWidth="1"/>
    <col min="5385" max="5385" width="9" style="62" customWidth="1"/>
    <col min="5386" max="5386" width="8.85546875" style="62" bestFit="1" customWidth="1"/>
    <col min="5387" max="5387" width="9.140625" style="62"/>
    <col min="5388" max="5388" width="8.85546875" style="62" bestFit="1" customWidth="1"/>
    <col min="5389" max="5389" width="9" style="62" bestFit="1" customWidth="1"/>
    <col min="5390" max="5390" width="9" style="62" customWidth="1"/>
    <col min="5391" max="5391" width="8.85546875" style="62" bestFit="1" customWidth="1"/>
    <col min="5392" max="5394" width="9.140625" style="62"/>
    <col min="5395" max="5395" width="24.140625" style="62" bestFit="1" customWidth="1"/>
    <col min="5396" max="5396" width="10.42578125" style="62" customWidth="1"/>
    <col min="5397" max="5397" width="10.28515625" style="62" customWidth="1"/>
    <col min="5398" max="5632" width="9.140625" style="62"/>
    <col min="5633" max="5633" width="6.140625" style="62" customWidth="1"/>
    <col min="5634" max="5634" width="16.7109375" style="62" customWidth="1"/>
    <col min="5635" max="5636" width="9.85546875" style="62" bestFit="1" customWidth="1"/>
    <col min="5637" max="5637" width="9.140625" style="62" bestFit="1" customWidth="1"/>
    <col min="5638" max="5638" width="9.140625" style="62"/>
    <col min="5639" max="5639" width="9" style="62" customWidth="1"/>
    <col min="5640" max="5640" width="9.140625" style="62" bestFit="1" customWidth="1"/>
    <col min="5641" max="5641" width="9" style="62" customWidth="1"/>
    <col min="5642" max="5642" width="8.85546875" style="62" bestFit="1" customWidth="1"/>
    <col min="5643" max="5643" width="9.140625" style="62"/>
    <col min="5644" max="5644" width="8.85546875" style="62" bestFit="1" customWidth="1"/>
    <col min="5645" max="5645" width="9" style="62" bestFit="1" customWidth="1"/>
    <col min="5646" max="5646" width="9" style="62" customWidth="1"/>
    <col min="5647" max="5647" width="8.85546875" style="62" bestFit="1" customWidth="1"/>
    <col min="5648" max="5650" width="9.140625" style="62"/>
    <col min="5651" max="5651" width="24.140625" style="62" bestFit="1" customWidth="1"/>
    <col min="5652" max="5652" width="10.42578125" style="62" customWidth="1"/>
    <col min="5653" max="5653" width="10.28515625" style="62" customWidth="1"/>
    <col min="5654" max="5888" width="9.140625" style="62"/>
    <col min="5889" max="5889" width="6.140625" style="62" customWidth="1"/>
    <col min="5890" max="5890" width="16.7109375" style="62" customWidth="1"/>
    <col min="5891" max="5892" width="9.85546875" style="62" bestFit="1" customWidth="1"/>
    <col min="5893" max="5893" width="9.140625" style="62" bestFit="1" customWidth="1"/>
    <col min="5894" max="5894" width="9.140625" style="62"/>
    <col min="5895" max="5895" width="9" style="62" customWidth="1"/>
    <col min="5896" max="5896" width="9.140625" style="62" bestFit="1" customWidth="1"/>
    <col min="5897" max="5897" width="9" style="62" customWidth="1"/>
    <col min="5898" max="5898" width="8.85546875" style="62" bestFit="1" customWidth="1"/>
    <col min="5899" max="5899" width="9.140625" style="62"/>
    <col min="5900" max="5900" width="8.85546875" style="62" bestFit="1" customWidth="1"/>
    <col min="5901" max="5901" width="9" style="62" bestFit="1" customWidth="1"/>
    <col min="5902" max="5902" width="9" style="62" customWidth="1"/>
    <col min="5903" max="5903" width="8.85546875" style="62" bestFit="1" customWidth="1"/>
    <col min="5904" max="5906" width="9.140625" style="62"/>
    <col min="5907" max="5907" width="24.140625" style="62" bestFit="1" customWidth="1"/>
    <col min="5908" max="5908" width="10.42578125" style="62" customWidth="1"/>
    <col min="5909" max="5909" width="10.28515625" style="62" customWidth="1"/>
    <col min="5910" max="6144" width="9.140625" style="62"/>
    <col min="6145" max="6145" width="6.140625" style="62" customWidth="1"/>
    <col min="6146" max="6146" width="16.7109375" style="62" customWidth="1"/>
    <col min="6147" max="6148" width="9.85546875" style="62" bestFit="1" customWidth="1"/>
    <col min="6149" max="6149" width="9.140625" style="62" bestFit="1" customWidth="1"/>
    <col min="6150" max="6150" width="9.140625" style="62"/>
    <col min="6151" max="6151" width="9" style="62" customWidth="1"/>
    <col min="6152" max="6152" width="9.140625" style="62" bestFit="1" customWidth="1"/>
    <col min="6153" max="6153" width="9" style="62" customWidth="1"/>
    <col min="6154" max="6154" width="8.85546875" style="62" bestFit="1" customWidth="1"/>
    <col min="6155" max="6155" width="9.140625" style="62"/>
    <col min="6156" max="6156" width="8.85546875" style="62" bestFit="1" customWidth="1"/>
    <col min="6157" max="6157" width="9" style="62" bestFit="1" customWidth="1"/>
    <col min="6158" max="6158" width="9" style="62" customWidth="1"/>
    <col min="6159" max="6159" width="8.85546875" style="62" bestFit="1" customWidth="1"/>
    <col min="6160" max="6162" width="9.140625" style="62"/>
    <col min="6163" max="6163" width="24.140625" style="62" bestFit="1" customWidth="1"/>
    <col min="6164" max="6164" width="10.42578125" style="62" customWidth="1"/>
    <col min="6165" max="6165" width="10.28515625" style="62" customWidth="1"/>
    <col min="6166" max="6400" width="9.140625" style="62"/>
    <col min="6401" max="6401" width="6.140625" style="62" customWidth="1"/>
    <col min="6402" max="6402" width="16.7109375" style="62" customWidth="1"/>
    <col min="6403" max="6404" width="9.85546875" style="62" bestFit="1" customWidth="1"/>
    <col min="6405" max="6405" width="9.140625" style="62" bestFit="1" customWidth="1"/>
    <col min="6406" max="6406" width="9.140625" style="62"/>
    <col min="6407" max="6407" width="9" style="62" customWidth="1"/>
    <col min="6408" max="6408" width="9.140625" style="62" bestFit="1" customWidth="1"/>
    <col min="6409" max="6409" width="9" style="62" customWidth="1"/>
    <col min="6410" max="6410" width="8.85546875" style="62" bestFit="1" customWidth="1"/>
    <col min="6411" max="6411" width="9.140625" style="62"/>
    <col min="6412" max="6412" width="8.85546875" style="62" bestFit="1" customWidth="1"/>
    <col min="6413" max="6413" width="9" style="62" bestFit="1" customWidth="1"/>
    <col min="6414" max="6414" width="9" style="62" customWidth="1"/>
    <col min="6415" max="6415" width="8.85546875" style="62" bestFit="1" customWidth="1"/>
    <col min="6416" max="6418" width="9.140625" style="62"/>
    <col min="6419" max="6419" width="24.140625" style="62" bestFit="1" customWidth="1"/>
    <col min="6420" max="6420" width="10.42578125" style="62" customWidth="1"/>
    <col min="6421" max="6421" width="10.28515625" style="62" customWidth="1"/>
    <col min="6422" max="6656" width="9.140625" style="62"/>
    <col min="6657" max="6657" width="6.140625" style="62" customWidth="1"/>
    <col min="6658" max="6658" width="16.7109375" style="62" customWidth="1"/>
    <col min="6659" max="6660" width="9.85546875" style="62" bestFit="1" customWidth="1"/>
    <col min="6661" max="6661" width="9.140625" style="62" bestFit="1" customWidth="1"/>
    <col min="6662" max="6662" width="9.140625" style="62"/>
    <col min="6663" max="6663" width="9" style="62" customWidth="1"/>
    <col min="6664" max="6664" width="9.140625" style="62" bestFit="1" customWidth="1"/>
    <col min="6665" max="6665" width="9" style="62" customWidth="1"/>
    <col min="6666" max="6666" width="8.85546875" style="62" bestFit="1" customWidth="1"/>
    <col min="6667" max="6667" width="9.140625" style="62"/>
    <col min="6668" max="6668" width="8.85546875" style="62" bestFit="1" customWidth="1"/>
    <col min="6669" max="6669" width="9" style="62" bestFit="1" customWidth="1"/>
    <col min="6670" max="6670" width="9" style="62" customWidth="1"/>
    <col min="6671" max="6671" width="8.85546875" style="62" bestFit="1" customWidth="1"/>
    <col min="6672" max="6674" width="9.140625" style="62"/>
    <col min="6675" max="6675" width="24.140625" style="62" bestFit="1" customWidth="1"/>
    <col min="6676" max="6676" width="10.42578125" style="62" customWidth="1"/>
    <col min="6677" max="6677" width="10.28515625" style="62" customWidth="1"/>
    <col min="6678" max="6912" width="9.140625" style="62"/>
    <col min="6913" max="6913" width="6.140625" style="62" customWidth="1"/>
    <col min="6914" max="6914" width="16.7109375" style="62" customWidth="1"/>
    <col min="6915" max="6916" width="9.85546875" style="62" bestFit="1" customWidth="1"/>
    <col min="6917" max="6917" width="9.140625" style="62" bestFit="1" customWidth="1"/>
    <col min="6918" max="6918" width="9.140625" style="62"/>
    <col min="6919" max="6919" width="9" style="62" customWidth="1"/>
    <col min="6920" max="6920" width="9.140625" style="62" bestFit="1" customWidth="1"/>
    <col min="6921" max="6921" width="9" style="62" customWidth="1"/>
    <col min="6922" max="6922" width="8.85546875" style="62" bestFit="1" customWidth="1"/>
    <col min="6923" max="6923" width="9.140625" style="62"/>
    <col min="6924" max="6924" width="8.85546875" style="62" bestFit="1" customWidth="1"/>
    <col min="6925" max="6925" width="9" style="62" bestFit="1" customWidth="1"/>
    <col min="6926" max="6926" width="9" style="62" customWidth="1"/>
    <col min="6927" max="6927" width="8.85546875" style="62" bestFit="1" customWidth="1"/>
    <col min="6928" max="6930" width="9.140625" style="62"/>
    <col min="6931" max="6931" width="24.140625" style="62" bestFit="1" customWidth="1"/>
    <col min="6932" max="6932" width="10.42578125" style="62" customWidth="1"/>
    <col min="6933" max="6933" width="10.28515625" style="62" customWidth="1"/>
    <col min="6934" max="7168" width="9.140625" style="62"/>
    <col min="7169" max="7169" width="6.140625" style="62" customWidth="1"/>
    <col min="7170" max="7170" width="16.7109375" style="62" customWidth="1"/>
    <col min="7171" max="7172" width="9.85546875" style="62" bestFit="1" customWidth="1"/>
    <col min="7173" max="7173" width="9.140625" style="62" bestFit="1" customWidth="1"/>
    <col min="7174" max="7174" width="9.140625" style="62"/>
    <col min="7175" max="7175" width="9" style="62" customWidth="1"/>
    <col min="7176" max="7176" width="9.140625" style="62" bestFit="1" customWidth="1"/>
    <col min="7177" max="7177" width="9" style="62" customWidth="1"/>
    <col min="7178" max="7178" width="8.85546875" style="62" bestFit="1" customWidth="1"/>
    <col min="7179" max="7179" width="9.140625" style="62"/>
    <col min="7180" max="7180" width="8.85546875" style="62" bestFit="1" customWidth="1"/>
    <col min="7181" max="7181" width="9" style="62" bestFit="1" customWidth="1"/>
    <col min="7182" max="7182" width="9" style="62" customWidth="1"/>
    <col min="7183" max="7183" width="8.85546875" style="62" bestFit="1" customWidth="1"/>
    <col min="7184" max="7186" width="9.140625" style="62"/>
    <col min="7187" max="7187" width="24.140625" style="62" bestFit="1" customWidth="1"/>
    <col min="7188" max="7188" width="10.42578125" style="62" customWidth="1"/>
    <col min="7189" max="7189" width="10.28515625" style="62" customWidth="1"/>
    <col min="7190" max="7424" width="9.140625" style="62"/>
    <col min="7425" max="7425" width="6.140625" style="62" customWidth="1"/>
    <col min="7426" max="7426" width="16.7109375" style="62" customWidth="1"/>
    <col min="7427" max="7428" width="9.85546875" style="62" bestFit="1" customWidth="1"/>
    <col min="7429" max="7429" width="9.140625" style="62" bestFit="1" customWidth="1"/>
    <col min="7430" max="7430" width="9.140625" style="62"/>
    <col min="7431" max="7431" width="9" style="62" customWidth="1"/>
    <col min="7432" max="7432" width="9.140625" style="62" bestFit="1" customWidth="1"/>
    <col min="7433" max="7433" width="9" style="62" customWidth="1"/>
    <col min="7434" max="7434" width="8.85546875" style="62" bestFit="1" customWidth="1"/>
    <col min="7435" max="7435" width="9.140625" style="62"/>
    <col min="7436" max="7436" width="8.85546875" style="62" bestFit="1" customWidth="1"/>
    <col min="7437" max="7437" width="9" style="62" bestFit="1" customWidth="1"/>
    <col min="7438" max="7438" width="9" style="62" customWidth="1"/>
    <col min="7439" max="7439" width="8.85546875" style="62" bestFit="1" customWidth="1"/>
    <col min="7440" max="7442" width="9.140625" style="62"/>
    <col min="7443" max="7443" width="24.140625" style="62" bestFit="1" customWidth="1"/>
    <col min="7444" max="7444" width="10.42578125" style="62" customWidth="1"/>
    <col min="7445" max="7445" width="10.28515625" style="62" customWidth="1"/>
    <col min="7446" max="7680" width="9.140625" style="62"/>
    <col min="7681" max="7681" width="6.140625" style="62" customWidth="1"/>
    <col min="7682" max="7682" width="16.7109375" style="62" customWidth="1"/>
    <col min="7683" max="7684" width="9.85546875" style="62" bestFit="1" customWidth="1"/>
    <col min="7685" max="7685" width="9.140625" style="62" bestFit="1" customWidth="1"/>
    <col min="7686" max="7686" width="9.140625" style="62"/>
    <col min="7687" max="7687" width="9" style="62" customWidth="1"/>
    <col min="7688" max="7688" width="9.140625" style="62" bestFit="1" customWidth="1"/>
    <col min="7689" max="7689" width="9" style="62" customWidth="1"/>
    <col min="7690" max="7690" width="8.85546875" style="62" bestFit="1" customWidth="1"/>
    <col min="7691" max="7691" width="9.140625" style="62"/>
    <col min="7692" max="7692" width="8.85546875" style="62" bestFit="1" customWidth="1"/>
    <col min="7693" max="7693" width="9" style="62" bestFit="1" customWidth="1"/>
    <col min="7694" max="7694" width="9" style="62" customWidth="1"/>
    <col min="7695" max="7695" width="8.85546875" style="62" bestFit="1" customWidth="1"/>
    <col min="7696" max="7698" width="9.140625" style="62"/>
    <col min="7699" max="7699" width="24.140625" style="62" bestFit="1" customWidth="1"/>
    <col min="7700" max="7700" width="10.42578125" style="62" customWidth="1"/>
    <col min="7701" max="7701" width="10.28515625" style="62" customWidth="1"/>
    <col min="7702" max="7936" width="9.140625" style="62"/>
    <col min="7937" max="7937" width="6.140625" style="62" customWidth="1"/>
    <col min="7938" max="7938" width="16.7109375" style="62" customWidth="1"/>
    <col min="7939" max="7940" width="9.85546875" style="62" bestFit="1" customWidth="1"/>
    <col min="7941" max="7941" width="9.140625" style="62" bestFit="1" customWidth="1"/>
    <col min="7942" max="7942" width="9.140625" style="62"/>
    <col min="7943" max="7943" width="9" style="62" customWidth="1"/>
    <col min="7944" max="7944" width="9.140625" style="62" bestFit="1" customWidth="1"/>
    <col min="7945" max="7945" width="9" style="62" customWidth="1"/>
    <col min="7946" max="7946" width="8.85546875" style="62" bestFit="1" customWidth="1"/>
    <col min="7947" max="7947" width="9.140625" style="62"/>
    <col min="7948" max="7948" width="8.85546875" style="62" bestFit="1" customWidth="1"/>
    <col min="7949" max="7949" width="9" style="62" bestFit="1" customWidth="1"/>
    <col min="7950" max="7950" width="9" style="62" customWidth="1"/>
    <col min="7951" max="7951" width="8.85546875" style="62" bestFit="1" customWidth="1"/>
    <col min="7952" max="7954" width="9.140625" style="62"/>
    <col min="7955" max="7955" width="24.140625" style="62" bestFit="1" customWidth="1"/>
    <col min="7956" max="7956" width="10.42578125" style="62" customWidth="1"/>
    <col min="7957" max="7957" width="10.28515625" style="62" customWidth="1"/>
    <col min="7958" max="8192" width="9.140625" style="62"/>
    <col min="8193" max="8193" width="6.140625" style="62" customWidth="1"/>
    <col min="8194" max="8194" width="16.7109375" style="62" customWidth="1"/>
    <col min="8195" max="8196" width="9.85546875" style="62" bestFit="1" customWidth="1"/>
    <col min="8197" max="8197" width="9.140625" style="62" bestFit="1" customWidth="1"/>
    <col min="8198" max="8198" width="9.140625" style="62"/>
    <col min="8199" max="8199" width="9" style="62" customWidth="1"/>
    <col min="8200" max="8200" width="9.140625" style="62" bestFit="1" customWidth="1"/>
    <col min="8201" max="8201" width="9" style="62" customWidth="1"/>
    <col min="8202" max="8202" width="8.85546875" style="62" bestFit="1" customWidth="1"/>
    <col min="8203" max="8203" width="9.140625" style="62"/>
    <col min="8204" max="8204" width="8.85546875" style="62" bestFit="1" customWidth="1"/>
    <col min="8205" max="8205" width="9" style="62" bestFit="1" customWidth="1"/>
    <col min="8206" max="8206" width="9" style="62" customWidth="1"/>
    <col min="8207" max="8207" width="8.85546875" style="62" bestFit="1" customWidth="1"/>
    <col min="8208" max="8210" width="9.140625" style="62"/>
    <col min="8211" max="8211" width="24.140625" style="62" bestFit="1" customWidth="1"/>
    <col min="8212" max="8212" width="10.42578125" style="62" customWidth="1"/>
    <col min="8213" max="8213" width="10.28515625" style="62" customWidth="1"/>
    <col min="8214" max="8448" width="9.140625" style="62"/>
    <col min="8449" max="8449" width="6.140625" style="62" customWidth="1"/>
    <col min="8450" max="8450" width="16.7109375" style="62" customWidth="1"/>
    <col min="8451" max="8452" width="9.85546875" style="62" bestFit="1" customWidth="1"/>
    <col min="8453" max="8453" width="9.140625" style="62" bestFit="1" customWidth="1"/>
    <col min="8454" max="8454" width="9.140625" style="62"/>
    <col min="8455" max="8455" width="9" style="62" customWidth="1"/>
    <col min="8456" max="8456" width="9.140625" style="62" bestFit="1" customWidth="1"/>
    <col min="8457" max="8457" width="9" style="62" customWidth="1"/>
    <col min="8458" max="8458" width="8.85546875" style="62" bestFit="1" customWidth="1"/>
    <col min="8459" max="8459" width="9.140625" style="62"/>
    <col min="8460" max="8460" width="8.85546875" style="62" bestFit="1" customWidth="1"/>
    <col min="8461" max="8461" width="9" style="62" bestFit="1" customWidth="1"/>
    <col min="8462" max="8462" width="9" style="62" customWidth="1"/>
    <col min="8463" max="8463" width="8.85546875" style="62" bestFit="1" customWidth="1"/>
    <col min="8464" max="8466" width="9.140625" style="62"/>
    <col min="8467" max="8467" width="24.140625" style="62" bestFit="1" customWidth="1"/>
    <col min="8468" max="8468" width="10.42578125" style="62" customWidth="1"/>
    <col min="8469" max="8469" width="10.28515625" style="62" customWidth="1"/>
    <col min="8470" max="8704" width="9.140625" style="62"/>
    <col min="8705" max="8705" width="6.140625" style="62" customWidth="1"/>
    <col min="8706" max="8706" width="16.7109375" style="62" customWidth="1"/>
    <col min="8707" max="8708" width="9.85546875" style="62" bestFit="1" customWidth="1"/>
    <col min="8709" max="8709" width="9.140625" style="62" bestFit="1" customWidth="1"/>
    <col min="8710" max="8710" width="9.140625" style="62"/>
    <col min="8711" max="8711" width="9" style="62" customWidth="1"/>
    <col min="8712" max="8712" width="9.140625" style="62" bestFit="1" customWidth="1"/>
    <col min="8713" max="8713" width="9" style="62" customWidth="1"/>
    <col min="8714" max="8714" width="8.85546875" style="62" bestFit="1" customWidth="1"/>
    <col min="8715" max="8715" width="9.140625" style="62"/>
    <col min="8716" max="8716" width="8.85546875" style="62" bestFit="1" customWidth="1"/>
    <col min="8717" max="8717" width="9" style="62" bestFit="1" customWidth="1"/>
    <col min="8718" max="8718" width="9" style="62" customWidth="1"/>
    <col min="8719" max="8719" width="8.85546875" style="62" bestFit="1" customWidth="1"/>
    <col min="8720" max="8722" width="9.140625" style="62"/>
    <col min="8723" max="8723" width="24.140625" style="62" bestFit="1" customWidth="1"/>
    <col min="8724" max="8724" width="10.42578125" style="62" customWidth="1"/>
    <col min="8725" max="8725" width="10.28515625" style="62" customWidth="1"/>
    <col min="8726" max="8960" width="9.140625" style="62"/>
    <col min="8961" max="8961" width="6.140625" style="62" customWidth="1"/>
    <col min="8962" max="8962" width="16.7109375" style="62" customWidth="1"/>
    <col min="8963" max="8964" width="9.85546875" style="62" bestFit="1" customWidth="1"/>
    <col min="8965" max="8965" width="9.140625" style="62" bestFit="1" customWidth="1"/>
    <col min="8966" max="8966" width="9.140625" style="62"/>
    <col min="8967" max="8967" width="9" style="62" customWidth="1"/>
    <col min="8968" max="8968" width="9.140625" style="62" bestFit="1" customWidth="1"/>
    <col min="8969" max="8969" width="9" style="62" customWidth="1"/>
    <col min="8970" max="8970" width="8.85546875" style="62" bestFit="1" customWidth="1"/>
    <col min="8971" max="8971" width="9.140625" style="62"/>
    <col min="8972" max="8972" width="8.85546875" style="62" bestFit="1" customWidth="1"/>
    <col min="8973" max="8973" width="9" style="62" bestFit="1" customWidth="1"/>
    <col min="8974" max="8974" width="9" style="62" customWidth="1"/>
    <col min="8975" max="8975" width="8.85546875" style="62" bestFit="1" customWidth="1"/>
    <col min="8976" max="8978" width="9.140625" style="62"/>
    <col min="8979" max="8979" width="24.140625" style="62" bestFit="1" customWidth="1"/>
    <col min="8980" max="8980" width="10.42578125" style="62" customWidth="1"/>
    <col min="8981" max="8981" width="10.28515625" style="62" customWidth="1"/>
    <col min="8982" max="9216" width="9.140625" style="62"/>
    <col min="9217" max="9217" width="6.140625" style="62" customWidth="1"/>
    <col min="9218" max="9218" width="16.7109375" style="62" customWidth="1"/>
    <col min="9219" max="9220" width="9.85546875" style="62" bestFit="1" customWidth="1"/>
    <col min="9221" max="9221" width="9.140625" style="62" bestFit="1" customWidth="1"/>
    <col min="9222" max="9222" width="9.140625" style="62"/>
    <col min="9223" max="9223" width="9" style="62" customWidth="1"/>
    <col min="9224" max="9224" width="9.140625" style="62" bestFit="1" customWidth="1"/>
    <col min="9225" max="9225" width="9" style="62" customWidth="1"/>
    <col min="9226" max="9226" width="8.85546875" style="62" bestFit="1" customWidth="1"/>
    <col min="9227" max="9227" width="9.140625" style="62"/>
    <col min="9228" max="9228" width="8.85546875" style="62" bestFit="1" customWidth="1"/>
    <col min="9229" max="9229" width="9" style="62" bestFit="1" customWidth="1"/>
    <col min="9230" max="9230" width="9" style="62" customWidth="1"/>
    <col min="9231" max="9231" width="8.85546875" style="62" bestFit="1" customWidth="1"/>
    <col min="9232" max="9234" width="9.140625" style="62"/>
    <col min="9235" max="9235" width="24.140625" style="62" bestFit="1" customWidth="1"/>
    <col min="9236" max="9236" width="10.42578125" style="62" customWidth="1"/>
    <col min="9237" max="9237" width="10.28515625" style="62" customWidth="1"/>
    <col min="9238" max="9472" width="9.140625" style="62"/>
    <col min="9473" max="9473" width="6.140625" style="62" customWidth="1"/>
    <col min="9474" max="9474" width="16.7109375" style="62" customWidth="1"/>
    <col min="9475" max="9476" width="9.85546875" style="62" bestFit="1" customWidth="1"/>
    <col min="9477" max="9477" width="9.140625" style="62" bestFit="1" customWidth="1"/>
    <col min="9478" max="9478" width="9.140625" style="62"/>
    <col min="9479" max="9479" width="9" style="62" customWidth="1"/>
    <col min="9480" max="9480" width="9.140625" style="62" bestFit="1" customWidth="1"/>
    <col min="9481" max="9481" width="9" style="62" customWidth="1"/>
    <col min="9482" max="9482" width="8.85546875" style="62" bestFit="1" customWidth="1"/>
    <col min="9483" max="9483" width="9.140625" style="62"/>
    <col min="9484" max="9484" width="8.85546875" style="62" bestFit="1" customWidth="1"/>
    <col min="9485" max="9485" width="9" style="62" bestFit="1" customWidth="1"/>
    <col min="9486" max="9486" width="9" style="62" customWidth="1"/>
    <col min="9487" max="9487" width="8.85546875" style="62" bestFit="1" customWidth="1"/>
    <col min="9488" max="9490" width="9.140625" style="62"/>
    <col min="9491" max="9491" width="24.140625" style="62" bestFit="1" customWidth="1"/>
    <col min="9492" max="9492" width="10.42578125" style="62" customWidth="1"/>
    <col min="9493" max="9493" width="10.28515625" style="62" customWidth="1"/>
    <col min="9494" max="9728" width="9.140625" style="62"/>
    <col min="9729" max="9729" width="6.140625" style="62" customWidth="1"/>
    <col min="9730" max="9730" width="16.7109375" style="62" customWidth="1"/>
    <col min="9731" max="9732" width="9.85546875" style="62" bestFit="1" customWidth="1"/>
    <col min="9733" max="9733" width="9.140625" style="62" bestFit="1" customWidth="1"/>
    <col min="9734" max="9734" width="9.140625" style="62"/>
    <col min="9735" max="9735" width="9" style="62" customWidth="1"/>
    <col min="9736" max="9736" width="9.140625" style="62" bestFit="1" customWidth="1"/>
    <col min="9737" max="9737" width="9" style="62" customWidth="1"/>
    <col min="9738" max="9738" width="8.85546875" style="62" bestFit="1" customWidth="1"/>
    <col min="9739" max="9739" width="9.140625" style="62"/>
    <col min="9740" max="9740" width="8.85546875" style="62" bestFit="1" customWidth="1"/>
    <col min="9741" max="9741" width="9" style="62" bestFit="1" customWidth="1"/>
    <col min="9742" max="9742" width="9" style="62" customWidth="1"/>
    <col min="9743" max="9743" width="8.85546875" style="62" bestFit="1" customWidth="1"/>
    <col min="9744" max="9746" width="9.140625" style="62"/>
    <col min="9747" max="9747" width="24.140625" style="62" bestFit="1" customWidth="1"/>
    <col min="9748" max="9748" width="10.42578125" style="62" customWidth="1"/>
    <col min="9749" max="9749" width="10.28515625" style="62" customWidth="1"/>
    <col min="9750" max="9984" width="9.140625" style="62"/>
    <col min="9985" max="9985" width="6.140625" style="62" customWidth="1"/>
    <col min="9986" max="9986" width="16.7109375" style="62" customWidth="1"/>
    <col min="9987" max="9988" width="9.85546875" style="62" bestFit="1" customWidth="1"/>
    <col min="9989" max="9989" width="9.140625" style="62" bestFit="1" customWidth="1"/>
    <col min="9990" max="9990" width="9.140625" style="62"/>
    <col min="9991" max="9991" width="9" style="62" customWidth="1"/>
    <col min="9992" max="9992" width="9.140625" style="62" bestFit="1" customWidth="1"/>
    <col min="9993" max="9993" width="9" style="62" customWidth="1"/>
    <col min="9994" max="9994" width="8.85546875" style="62" bestFit="1" customWidth="1"/>
    <col min="9995" max="9995" width="9.140625" style="62"/>
    <col min="9996" max="9996" width="8.85546875" style="62" bestFit="1" customWidth="1"/>
    <col min="9997" max="9997" width="9" style="62" bestFit="1" customWidth="1"/>
    <col min="9998" max="9998" width="9" style="62" customWidth="1"/>
    <col min="9999" max="9999" width="8.85546875" style="62" bestFit="1" customWidth="1"/>
    <col min="10000" max="10002" width="9.140625" style="62"/>
    <col min="10003" max="10003" width="24.140625" style="62" bestFit="1" customWidth="1"/>
    <col min="10004" max="10004" width="10.42578125" style="62" customWidth="1"/>
    <col min="10005" max="10005" width="10.28515625" style="62" customWidth="1"/>
    <col min="10006" max="10240" width="9.140625" style="62"/>
    <col min="10241" max="10241" width="6.140625" style="62" customWidth="1"/>
    <col min="10242" max="10242" width="16.7109375" style="62" customWidth="1"/>
    <col min="10243" max="10244" width="9.85546875" style="62" bestFit="1" customWidth="1"/>
    <col min="10245" max="10245" width="9.140625" style="62" bestFit="1" customWidth="1"/>
    <col min="10246" max="10246" width="9.140625" style="62"/>
    <col min="10247" max="10247" width="9" style="62" customWidth="1"/>
    <col min="10248" max="10248" width="9.140625" style="62" bestFit="1" customWidth="1"/>
    <col min="10249" max="10249" width="9" style="62" customWidth="1"/>
    <col min="10250" max="10250" width="8.85546875" style="62" bestFit="1" customWidth="1"/>
    <col min="10251" max="10251" width="9.140625" style="62"/>
    <col min="10252" max="10252" width="8.85546875" style="62" bestFit="1" customWidth="1"/>
    <col min="10253" max="10253" width="9" style="62" bestFit="1" customWidth="1"/>
    <col min="10254" max="10254" width="9" style="62" customWidth="1"/>
    <col min="10255" max="10255" width="8.85546875" style="62" bestFit="1" customWidth="1"/>
    <col min="10256" max="10258" width="9.140625" style="62"/>
    <col min="10259" max="10259" width="24.140625" style="62" bestFit="1" customWidth="1"/>
    <col min="10260" max="10260" width="10.42578125" style="62" customWidth="1"/>
    <col min="10261" max="10261" width="10.28515625" style="62" customWidth="1"/>
    <col min="10262" max="10496" width="9.140625" style="62"/>
    <col min="10497" max="10497" width="6.140625" style="62" customWidth="1"/>
    <col min="10498" max="10498" width="16.7109375" style="62" customWidth="1"/>
    <col min="10499" max="10500" width="9.85546875" style="62" bestFit="1" customWidth="1"/>
    <col min="10501" max="10501" width="9.140625" style="62" bestFit="1" customWidth="1"/>
    <col min="10502" max="10502" width="9.140625" style="62"/>
    <col min="10503" max="10503" width="9" style="62" customWidth="1"/>
    <col min="10504" max="10504" width="9.140625" style="62" bestFit="1" customWidth="1"/>
    <col min="10505" max="10505" width="9" style="62" customWidth="1"/>
    <col min="10506" max="10506" width="8.85546875" style="62" bestFit="1" customWidth="1"/>
    <col min="10507" max="10507" width="9.140625" style="62"/>
    <col min="10508" max="10508" width="8.85546875" style="62" bestFit="1" customWidth="1"/>
    <col min="10509" max="10509" width="9" style="62" bestFit="1" customWidth="1"/>
    <col min="10510" max="10510" width="9" style="62" customWidth="1"/>
    <col min="10511" max="10511" width="8.85546875" style="62" bestFit="1" customWidth="1"/>
    <col min="10512" max="10514" width="9.140625" style="62"/>
    <col min="10515" max="10515" width="24.140625" style="62" bestFit="1" customWidth="1"/>
    <col min="10516" max="10516" width="10.42578125" style="62" customWidth="1"/>
    <col min="10517" max="10517" width="10.28515625" style="62" customWidth="1"/>
    <col min="10518" max="10752" width="9.140625" style="62"/>
    <col min="10753" max="10753" width="6.140625" style="62" customWidth="1"/>
    <col min="10754" max="10754" width="16.7109375" style="62" customWidth="1"/>
    <col min="10755" max="10756" width="9.85546875" style="62" bestFit="1" customWidth="1"/>
    <col min="10757" max="10757" width="9.140625" style="62" bestFit="1" customWidth="1"/>
    <col min="10758" max="10758" width="9.140625" style="62"/>
    <col min="10759" max="10759" width="9" style="62" customWidth="1"/>
    <col min="10760" max="10760" width="9.140625" style="62" bestFit="1" customWidth="1"/>
    <col min="10761" max="10761" width="9" style="62" customWidth="1"/>
    <col min="10762" max="10762" width="8.85546875" style="62" bestFit="1" customWidth="1"/>
    <col min="10763" max="10763" width="9.140625" style="62"/>
    <col min="10764" max="10764" width="8.85546875" style="62" bestFit="1" customWidth="1"/>
    <col min="10765" max="10765" width="9" style="62" bestFit="1" customWidth="1"/>
    <col min="10766" max="10766" width="9" style="62" customWidth="1"/>
    <col min="10767" max="10767" width="8.85546875" style="62" bestFit="1" customWidth="1"/>
    <col min="10768" max="10770" width="9.140625" style="62"/>
    <col min="10771" max="10771" width="24.140625" style="62" bestFit="1" customWidth="1"/>
    <col min="10772" max="10772" width="10.42578125" style="62" customWidth="1"/>
    <col min="10773" max="10773" width="10.28515625" style="62" customWidth="1"/>
    <col min="10774" max="11008" width="9.140625" style="62"/>
    <col min="11009" max="11009" width="6.140625" style="62" customWidth="1"/>
    <col min="11010" max="11010" width="16.7109375" style="62" customWidth="1"/>
    <col min="11011" max="11012" width="9.85546875" style="62" bestFit="1" customWidth="1"/>
    <col min="11013" max="11013" width="9.140625" style="62" bestFit="1" customWidth="1"/>
    <col min="11014" max="11014" width="9.140625" style="62"/>
    <col min="11015" max="11015" width="9" style="62" customWidth="1"/>
    <col min="11016" max="11016" width="9.140625" style="62" bestFit="1" customWidth="1"/>
    <col min="11017" max="11017" width="9" style="62" customWidth="1"/>
    <col min="11018" max="11018" width="8.85546875" style="62" bestFit="1" customWidth="1"/>
    <col min="11019" max="11019" width="9.140625" style="62"/>
    <col min="11020" max="11020" width="8.85546875" style="62" bestFit="1" customWidth="1"/>
    <col min="11021" max="11021" width="9" style="62" bestFit="1" customWidth="1"/>
    <col min="11022" max="11022" width="9" style="62" customWidth="1"/>
    <col min="11023" max="11023" width="8.85546875" style="62" bestFit="1" customWidth="1"/>
    <col min="11024" max="11026" width="9.140625" style="62"/>
    <col min="11027" max="11027" width="24.140625" style="62" bestFit="1" customWidth="1"/>
    <col min="11028" max="11028" width="10.42578125" style="62" customWidth="1"/>
    <col min="11029" max="11029" width="10.28515625" style="62" customWidth="1"/>
    <col min="11030" max="11264" width="9.140625" style="62"/>
    <col min="11265" max="11265" width="6.140625" style="62" customWidth="1"/>
    <col min="11266" max="11266" width="16.7109375" style="62" customWidth="1"/>
    <col min="11267" max="11268" width="9.85546875" style="62" bestFit="1" customWidth="1"/>
    <col min="11269" max="11269" width="9.140625" style="62" bestFit="1" customWidth="1"/>
    <col min="11270" max="11270" width="9.140625" style="62"/>
    <col min="11271" max="11271" width="9" style="62" customWidth="1"/>
    <col min="11272" max="11272" width="9.140625" style="62" bestFit="1" customWidth="1"/>
    <col min="11273" max="11273" width="9" style="62" customWidth="1"/>
    <col min="11274" max="11274" width="8.85546875" style="62" bestFit="1" customWidth="1"/>
    <col min="11275" max="11275" width="9.140625" style="62"/>
    <col min="11276" max="11276" width="8.85546875" style="62" bestFit="1" customWidth="1"/>
    <col min="11277" max="11277" width="9" style="62" bestFit="1" customWidth="1"/>
    <col min="11278" max="11278" width="9" style="62" customWidth="1"/>
    <col min="11279" max="11279" width="8.85546875" style="62" bestFit="1" customWidth="1"/>
    <col min="11280" max="11282" width="9.140625" style="62"/>
    <col min="11283" max="11283" width="24.140625" style="62" bestFit="1" customWidth="1"/>
    <col min="11284" max="11284" width="10.42578125" style="62" customWidth="1"/>
    <col min="11285" max="11285" width="10.28515625" style="62" customWidth="1"/>
    <col min="11286" max="11520" width="9.140625" style="62"/>
    <col min="11521" max="11521" width="6.140625" style="62" customWidth="1"/>
    <col min="11522" max="11522" width="16.7109375" style="62" customWidth="1"/>
    <col min="11523" max="11524" width="9.85546875" style="62" bestFit="1" customWidth="1"/>
    <col min="11525" max="11525" width="9.140625" style="62" bestFit="1" customWidth="1"/>
    <col min="11526" max="11526" width="9.140625" style="62"/>
    <col min="11527" max="11527" width="9" style="62" customWidth="1"/>
    <col min="11528" max="11528" width="9.140625" style="62" bestFit="1" customWidth="1"/>
    <col min="11529" max="11529" width="9" style="62" customWidth="1"/>
    <col min="11530" max="11530" width="8.85546875" style="62" bestFit="1" customWidth="1"/>
    <col min="11531" max="11531" width="9.140625" style="62"/>
    <col min="11532" max="11532" width="8.85546875" style="62" bestFit="1" customWidth="1"/>
    <col min="11533" max="11533" width="9" style="62" bestFit="1" customWidth="1"/>
    <col min="11534" max="11534" width="9" style="62" customWidth="1"/>
    <col min="11535" max="11535" width="8.85546875" style="62" bestFit="1" customWidth="1"/>
    <col min="11536" max="11538" width="9.140625" style="62"/>
    <col min="11539" max="11539" width="24.140625" style="62" bestFit="1" customWidth="1"/>
    <col min="11540" max="11540" width="10.42578125" style="62" customWidth="1"/>
    <col min="11541" max="11541" width="10.28515625" style="62" customWidth="1"/>
    <col min="11542" max="11776" width="9.140625" style="62"/>
    <col min="11777" max="11777" width="6.140625" style="62" customWidth="1"/>
    <col min="11778" max="11778" width="16.7109375" style="62" customWidth="1"/>
    <col min="11779" max="11780" width="9.85546875" style="62" bestFit="1" customWidth="1"/>
    <col min="11781" max="11781" width="9.140625" style="62" bestFit="1" customWidth="1"/>
    <col min="11782" max="11782" width="9.140625" style="62"/>
    <col min="11783" max="11783" width="9" style="62" customWidth="1"/>
    <col min="11784" max="11784" width="9.140625" style="62" bestFit="1" customWidth="1"/>
    <col min="11785" max="11785" width="9" style="62" customWidth="1"/>
    <col min="11786" max="11786" width="8.85546875" style="62" bestFit="1" customWidth="1"/>
    <col min="11787" max="11787" width="9.140625" style="62"/>
    <col min="11788" max="11788" width="8.85546875" style="62" bestFit="1" customWidth="1"/>
    <col min="11789" max="11789" width="9" style="62" bestFit="1" customWidth="1"/>
    <col min="11790" max="11790" width="9" style="62" customWidth="1"/>
    <col min="11791" max="11791" width="8.85546875" style="62" bestFit="1" customWidth="1"/>
    <col min="11792" max="11794" width="9.140625" style="62"/>
    <col min="11795" max="11795" width="24.140625" style="62" bestFit="1" customWidth="1"/>
    <col min="11796" max="11796" width="10.42578125" style="62" customWidth="1"/>
    <col min="11797" max="11797" width="10.28515625" style="62" customWidth="1"/>
    <col min="11798" max="12032" width="9.140625" style="62"/>
    <col min="12033" max="12033" width="6.140625" style="62" customWidth="1"/>
    <col min="12034" max="12034" width="16.7109375" style="62" customWidth="1"/>
    <col min="12035" max="12036" width="9.85546875" style="62" bestFit="1" customWidth="1"/>
    <col min="12037" max="12037" width="9.140625" style="62" bestFit="1" customWidth="1"/>
    <col min="12038" max="12038" width="9.140625" style="62"/>
    <col min="12039" max="12039" width="9" style="62" customWidth="1"/>
    <col min="12040" max="12040" width="9.140625" style="62" bestFit="1" customWidth="1"/>
    <col min="12041" max="12041" width="9" style="62" customWidth="1"/>
    <col min="12042" max="12042" width="8.85546875" style="62" bestFit="1" customWidth="1"/>
    <col min="12043" max="12043" width="9.140625" style="62"/>
    <col min="12044" max="12044" width="8.85546875" style="62" bestFit="1" customWidth="1"/>
    <col min="12045" max="12045" width="9" style="62" bestFit="1" customWidth="1"/>
    <col min="12046" max="12046" width="9" style="62" customWidth="1"/>
    <col min="12047" max="12047" width="8.85546875" style="62" bestFit="1" customWidth="1"/>
    <col min="12048" max="12050" width="9.140625" style="62"/>
    <col min="12051" max="12051" width="24.140625" style="62" bestFit="1" customWidth="1"/>
    <col min="12052" max="12052" width="10.42578125" style="62" customWidth="1"/>
    <col min="12053" max="12053" width="10.28515625" style="62" customWidth="1"/>
    <col min="12054" max="12288" width="9.140625" style="62"/>
    <col min="12289" max="12289" width="6.140625" style="62" customWidth="1"/>
    <col min="12290" max="12290" width="16.7109375" style="62" customWidth="1"/>
    <col min="12291" max="12292" width="9.85546875" style="62" bestFit="1" customWidth="1"/>
    <col min="12293" max="12293" width="9.140625" style="62" bestFit="1" customWidth="1"/>
    <col min="12294" max="12294" width="9.140625" style="62"/>
    <col min="12295" max="12295" width="9" style="62" customWidth="1"/>
    <col min="12296" max="12296" width="9.140625" style="62" bestFit="1" customWidth="1"/>
    <col min="12297" max="12297" width="9" style="62" customWidth="1"/>
    <col min="12298" max="12298" width="8.85546875" style="62" bestFit="1" customWidth="1"/>
    <col min="12299" max="12299" width="9.140625" style="62"/>
    <col min="12300" max="12300" width="8.85546875" style="62" bestFit="1" customWidth="1"/>
    <col min="12301" max="12301" width="9" style="62" bestFit="1" customWidth="1"/>
    <col min="12302" max="12302" width="9" style="62" customWidth="1"/>
    <col min="12303" max="12303" width="8.85546875" style="62" bestFit="1" customWidth="1"/>
    <col min="12304" max="12306" width="9.140625" style="62"/>
    <col min="12307" max="12307" width="24.140625" style="62" bestFit="1" customWidth="1"/>
    <col min="12308" max="12308" width="10.42578125" style="62" customWidth="1"/>
    <col min="12309" max="12309" width="10.28515625" style="62" customWidth="1"/>
    <col min="12310" max="12544" width="9.140625" style="62"/>
    <col min="12545" max="12545" width="6.140625" style="62" customWidth="1"/>
    <col min="12546" max="12546" width="16.7109375" style="62" customWidth="1"/>
    <col min="12547" max="12548" width="9.85546875" style="62" bestFit="1" customWidth="1"/>
    <col min="12549" max="12549" width="9.140625" style="62" bestFit="1" customWidth="1"/>
    <col min="12550" max="12550" width="9.140625" style="62"/>
    <col min="12551" max="12551" width="9" style="62" customWidth="1"/>
    <col min="12552" max="12552" width="9.140625" style="62" bestFit="1" customWidth="1"/>
    <col min="12553" max="12553" width="9" style="62" customWidth="1"/>
    <col min="12554" max="12554" width="8.85546875" style="62" bestFit="1" customWidth="1"/>
    <col min="12555" max="12555" width="9.140625" style="62"/>
    <col min="12556" max="12556" width="8.85546875" style="62" bestFit="1" customWidth="1"/>
    <col min="12557" max="12557" width="9" style="62" bestFit="1" customWidth="1"/>
    <col min="12558" max="12558" width="9" style="62" customWidth="1"/>
    <col min="12559" max="12559" width="8.85546875" style="62" bestFit="1" customWidth="1"/>
    <col min="12560" max="12562" width="9.140625" style="62"/>
    <col min="12563" max="12563" width="24.140625" style="62" bestFit="1" customWidth="1"/>
    <col min="12564" max="12564" width="10.42578125" style="62" customWidth="1"/>
    <col min="12565" max="12565" width="10.28515625" style="62" customWidth="1"/>
    <col min="12566" max="12800" width="9.140625" style="62"/>
    <col min="12801" max="12801" width="6.140625" style="62" customWidth="1"/>
    <col min="12802" max="12802" width="16.7109375" style="62" customWidth="1"/>
    <col min="12803" max="12804" width="9.85546875" style="62" bestFit="1" customWidth="1"/>
    <col min="12805" max="12805" width="9.140625" style="62" bestFit="1" customWidth="1"/>
    <col min="12806" max="12806" width="9.140625" style="62"/>
    <col min="12807" max="12807" width="9" style="62" customWidth="1"/>
    <col min="12808" max="12808" width="9.140625" style="62" bestFit="1" customWidth="1"/>
    <col min="12809" max="12809" width="9" style="62" customWidth="1"/>
    <col min="12810" max="12810" width="8.85546875" style="62" bestFit="1" customWidth="1"/>
    <col min="12811" max="12811" width="9.140625" style="62"/>
    <col min="12812" max="12812" width="8.85546875" style="62" bestFit="1" customWidth="1"/>
    <col min="12813" max="12813" width="9" style="62" bestFit="1" customWidth="1"/>
    <col min="12814" max="12814" width="9" style="62" customWidth="1"/>
    <col min="12815" max="12815" width="8.85546875" style="62" bestFit="1" customWidth="1"/>
    <col min="12816" max="12818" width="9.140625" style="62"/>
    <col min="12819" max="12819" width="24.140625" style="62" bestFit="1" customWidth="1"/>
    <col min="12820" max="12820" width="10.42578125" style="62" customWidth="1"/>
    <col min="12821" max="12821" width="10.28515625" style="62" customWidth="1"/>
    <col min="12822" max="13056" width="9.140625" style="62"/>
    <col min="13057" max="13057" width="6.140625" style="62" customWidth="1"/>
    <col min="13058" max="13058" width="16.7109375" style="62" customWidth="1"/>
    <col min="13059" max="13060" width="9.85546875" style="62" bestFit="1" customWidth="1"/>
    <col min="13061" max="13061" width="9.140625" style="62" bestFit="1" customWidth="1"/>
    <col min="13062" max="13062" width="9.140625" style="62"/>
    <col min="13063" max="13063" width="9" style="62" customWidth="1"/>
    <col min="13064" max="13064" width="9.140625" style="62" bestFit="1" customWidth="1"/>
    <col min="13065" max="13065" width="9" style="62" customWidth="1"/>
    <col min="13066" max="13066" width="8.85546875" style="62" bestFit="1" customWidth="1"/>
    <col min="13067" max="13067" width="9.140625" style="62"/>
    <col min="13068" max="13068" width="8.85546875" style="62" bestFit="1" customWidth="1"/>
    <col min="13069" max="13069" width="9" style="62" bestFit="1" customWidth="1"/>
    <col min="13070" max="13070" width="9" style="62" customWidth="1"/>
    <col min="13071" max="13071" width="8.85546875" style="62" bestFit="1" customWidth="1"/>
    <col min="13072" max="13074" width="9.140625" style="62"/>
    <col min="13075" max="13075" width="24.140625" style="62" bestFit="1" customWidth="1"/>
    <col min="13076" max="13076" width="10.42578125" style="62" customWidth="1"/>
    <col min="13077" max="13077" width="10.28515625" style="62" customWidth="1"/>
    <col min="13078" max="13312" width="9.140625" style="62"/>
    <col min="13313" max="13313" width="6.140625" style="62" customWidth="1"/>
    <col min="13314" max="13314" width="16.7109375" style="62" customWidth="1"/>
    <col min="13315" max="13316" width="9.85546875" style="62" bestFit="1" customWidth="1"/>
    <col min="13317" max="13317" width="9.140625" style="62" bestFit="1" customWidth="1"/>
    <col min="13318" max="13318" width="9.140625" style="62"/>
    <col min="13319" max="13319" width="9" style="62" customWidth="1"/>
    <col min="13320" max="13320" width="9.140625" style="62" bestFit="1" customWidth="1"/>
    <col min="13321" max="13321" width="9" style="62" customWidth="1"/>
    <col min="13322" max="13322" width="8.85546875" style="62" bestFit="1" customWidth="1"/>
    <col min="13323" max="13323" width="9.140625" style="62"/>
    <col min="13324" max="13324" width="8.85546875" style="62" bestFit="1" customWidth="1"/>
    <col min="13325" max="13325" width="9" style="62" bestFit="1" customWidth="1"/>
    <col min="13326" max="13326" width="9" style="62" customWidth="1"/>
    <col min="13327" max="13327" width="8.85546875" style="62" bestFit="1" customWidth="1"/>
    <col min="13328" max="13330" width="9.140625" style="62"/>
    <col min="13331" max="13331" width="24.140625" style="62" bestFit="1" customWidth="1"/>
    <col min="13332" max="13332" width="10.42578125" style="62" customWidth="1"/>
    <col min="13333" max="13333" width="10.28515625" style="62" customWidth="1"/>
    <col min="13334" max="13568" width="9.140625" style="62"/>
    <col min="13569" max="13569" width="6.140625" style="62" customWidth="1"/>
    <col min="13570" max="13570" width="16.7109375" style="62" customWidth="1"/>
    <col min="13571" max="13572" width="9.85546875" style="62" bestFit="1" customWidth="1"/>
    <col min="13573" max="13573" width="9.140625" style="62" bestFit="1" customWidth="1"/>
    <col min="13574" max="13574" width="9.140625" style="62"/>
    <col min="13575" max="13575" width="9" style="62" customWidth="1"/>
    <col min="13576" max="13576" width="9.140625" style="62" bestFit="1" customWidth="1"/>
    <col min="13577" max="13577" width="9" style="62" customWidth="1"/>
    <col min="13578" max="13578" width="8.85546875" style="62" bestFit="1" customWidth="1"/>
    <col min="13579" max="13579" width="9.140625" style="62"/>
    <col min="13580" max="13580" width="8.85546875" style="62" bestFit="1" customWidth="1"/>
    <col min="13581" max="13581" width="9" style="62" bestFit="1" customWidth="1"/>
    <col min="13582" max="13582" width="9" style="62" customWidth="1"/>
    <col min="13583" max="13583" width="8.85546875" style="62" bestFit="1" customWidth="1"/>
    <col min="13584" max="13586" width="9.140625" style="62"/>
    <col min="13587" max="13587" width="24.140625" style="62" bestFit="1" customWidth="1"/>
    <col min="13588" max="13588" width="10.42578125" style="62" customWidth="1"/>
    <col min="13589" max="13589" width="10.28515625" style="62" customWidth="1"/>
    <col min="13590" max="13824" width="9.140625" style="62"/>
    <col min="13825" max="13825" width="6.140625" style="62" customWidth="1"/>
    <col min="13826" max="13826" width="16.7109375" style="62" customWidth="1"/>
    <col min="13827" max="13828" width="9.85546875" style="62" bestFit="1" customWidth="1"/>
    <col min="13829" max="13829" width="9.140625" style="62" bestFit="1" customWidth="1"/>
    <col min="13830" max="13830" width="9.140625" style="62"/>
    <col min="13831" max="13831" width="9" style="62" customWidth="1"/>
    <col min="13832" max="13832" width="9.140625" style="62" bestFit="1" customWidth="1"/>
    <col min="13833" max="13833" width="9" style="62" customWidth="1"/>
    <col min="13834" max="13834" width="8.85546875" style="62" bestFit="1" customWidth="1"/>
    <col min="13835" max="13835" width="9.140625" style="62"/>
    <col min="13836" max="13836" width="8.85546875" style="62" bestFit="1" customWidth="1"/>
    <col min="13837" max="13837" width="9" style="62" bestFit="1" customWidth="1"/>
    <col min="13838" max="13838" width="9" style="62" customWidth="1"/>
    <col min="13839" max="13839" width="8.85546875" style="62" bestFit="1" customWidth="1"/>
    <col min="13840" max="13842" width="9.140625" style="62"/>
    <col min="13843" max="13843" width="24.140625" style="62" bestFit="1" customWidth="1"/>
    <col min="13844" max="13844" width="10.42578125" style="62" customWidth="1"/>
    <col min="13845" max="13845" width="10.28515625" style="62" customWidth="1"/>
    <col min="13846" max="14080" width="9.140625" style="62"/>
    <col min="14081" max="14081" width="6.140625" style="62" customWidth="1"/>
    <col min="14082" max="14082" width="16.7109375" style="62" customWidth="1"/>
    <col min="14083" max="14084" width="9.85546875" style="62" bestFit="1" customWidth="1"/>
    <col min="14085" max="14085" width="9.140625" style="62" bestFit="1" customWidth="1"/>
    <col min="14086" max="14086" width="9.140625" style="62"/>
    <col min="14087" max="14087" width="9" style="62" customWidth="1"/>
    <col min="14088" max="14088" width="9.140625" style="62" bestFit="1" customWidth="1"/>
    <col min="14089" max="14089" width="9" style="62" customWidth="1"/>
    <col min="14090" max="14090" width="8.85546875" style="62" bestFit="1" customWidth="1"/>
    <col min="14091" max="14091" width="9.140625" style="62"/>
    <col min="14092" max="14092" width="8.85546875" style="62" bestFit="1" customWidth="1"/>
    <col min="14093" max="14093" width="9" style="62" bestFit="1" customWidth="1"/>
    <col min="14094" max="14094" width="9" style="62" customWidth="1"/>
    <col min="14095" max="14095" width="8.85546875" style="62" bestFit="1" customWidth="1"/>
    <col min="14096" max="14098" width="9.140625" style="62"/>
    <col min="14099" max="14099" width="24.140625" style="62" bestFit="1" customWidth="1"/>
    <col min="14100" max="14100" width="10.42578125" style="62" customWidth="1"/>
    <col min="14101" max="14101" width="10.28515625" style="62" customWidth="1"/>
    <col min="14102" max="14336" width="9.140625" style="62"/>
    <col min="14337" max="14337" width="6.140625" style="62" customWidth="1"/>
    <col min="14338" max="14338" width="16.7109375" style="62" customWidth="1"/>
    <col min="14339" max="14340" width="9.85546875" style="62" bestFit="1" customWidth="1"/>
    <col min="14341" max="14341" width="9.140625" style="62" bestFit="1" customWidth="1"/>
    <col min="14342" max="14342" width="9.140625" style="62"/>
    <col min="14343" max="14343" width="9" style="62" customWidth="1"/>
    <col min="14344" max="14344" width="9.140625" style="62" bestFit="1" customWidth="1"/>
    <col min="14345" max="14345" width="9" style="62" customWidth="1"/>
    <col min="14346" max="14346" width="8.85546875" style="62" bestFit="1" customWidth="1"/>
    <col min="14347" max="14347" width="9.140625" style="62"/>
    <col min="14348" max="14348" width="8.85546875" style="62" bestFit="1" customWidth="1"/>
    <col min="14349" max="14349" width="9" style="62" bestFit="1" customWidth="1"/>
    <col min="14350" max="14350" width="9" style="62" customWidth="1"/>
    <col min="14351" max="14351" width="8.85546875" style="62" bestFit="1" customWidth="1"/>
    <col min="14352" max="14354" width="9.140625" style="62"/>
    <col min="14355" max="14355" width="24.140625" style="62" bestFit="1" customWidth="1"/>
    <col min="14356" max="14356" width="10.42578125" style="62" customWidth="1"/>
    <col min="14357" max="14357" width="10.28515625" style="62" customWidth="1"/>
    <col min="14358" max="14592" width="9.140625" style="62"/>
    <col min="14593" max="14593" width="6.140625" style="62" customWidth="1"/>
    <col min="14594" max="14594" width="16.7109375" style="62" customWidth="1"/>
    <col min="14595" max="14596" width="9.85546875" style="62" bestFit="1" customWidth="1"/>
    <col min="14597" max="14597" width="9.140625" style="62" bestFit="1" customWidth="1"/>
    <col min="14598" max="14598" width="9.140625" style="62"/>
    <col min="14599" max="14599" width="9" style="62" customWidth="1"/>
    <col min="14600" max="14600" width="9.140625" style="62" bestFit="1" customWidth="1"/>
    <col min="14601" max="14601" width="9" style="62" customWidth="1"/>
    <col min="14602" max="14602" width="8.85546875" style="62" bestFit="1" customWidth="1"/>
    <col min="14603" max="14603" width="9.140625" style="62"/>
    <col min="14604" max="14604" width="8.85546875" style="62" bestFit="1" customWidth="1"/>
    <col min="14605" max="14605" width="9" style="62" bestFit="1" customWidth="1"/>
    <col min="14606" max="14606" width="9" style="62" customWidth="1"/>
    <col min="14607" max="14607" width="8.85546875" style="62" bestFit="1" customWidth="1"/>
    <col min="14608" max="14610" width="9.140625" style="62"/>
    <col min="14611" max="14611" width="24.140625" style="62" bestFit="1" customWidth="1"/>
    <col min="14612" max="14612" width="10.42578125" style="62" customWidth="1"/>
    <col min="14613" max="14613" width="10.28515625" style="62" customWidth="1"/>
    <col min="14614" max="14848" width="9.140625" style="62"/>
    <col min="14849" max="14849" width="6.140625" style="62" customWidth="1"/>
    <col min="14850" max="14850" width="16.7109375" style="62" customWidth="1"/>
    <col min="14851" max="14852" width="9.85546875" style="62" bestFit="1" customWidth="1"/>
    <col min="14853" max="14853" width="9.140625" style="62" bestFit="1" customWidth="1"/>
    <col min="14854" max="14854" width="9.140625" style="62"/>
    <col min="14855" max="14855" width="9" style="62" customWidth="1"/>
    <col min="14856" max="14856" width="9.140625" style="62" bestFit="1" customWidth="1"/>
    <col min="14857" max="14857" width="9" style="62" customWidth="1"/>
    <col min="14858" max="14858" width="8.85546875" style="62" bestFit="1" customWidth="1"/>
    <col min="14859" max="14859" width="9.140625" style="62"/>
    <col min="14860" max="14860" width="8.85546875" style="62" bestFit="1" customWidth="1"/>
    <col min="14861" max="14861" width="9" style="62" bestFit="1" customWidth="1"/>
    <col min="14862" max="14862" width="9" style="62" customWidth="1"/>
    <col min="14863" max="14863" width="8.85546875" style="62" bestFit="1" customWidth="1"/>
    <col min="14864" max="14866" width="9.140625" style="62"/>
    <col min="14867" max="14867" width="24.140625" style="62" bestFit="1" customWidth="1"/>
    <col min="14868" max="14868" width="10.42578125" style="62" customWidth="1"/>
    <col min="14869" max="14869" width="10.28515625" style="62" customWidth="1"/>
    <col min="14870" max="15104" width="9.140625" style="62"/>
    <col min="15105" max="15105" width="6.140625" style="62" customWidth="1"/>
    <col min="15106" max="15106" width="16.7109375" style="62" customWidth="1"/>
    <col min="15107" max="15108" width="9.85546875" style="62" bestFit="1" customWidth="1"/>
    <col min="15109" max="15109" width="9.140625" style="62" bestFit="1" customWidth="1"/>
    <col min="15110" max="15110" width="9.140625" style="62"/>
    <col min="15111" max="15111" width="9" style="62" customWidth="1"/>
    <col min="15112" max="15112" width="9.140625" style="62" bestFit="1" customWidth="1"/>
    <col min="15113" max="15113" width="9" style="62" customWidth="1"/>
    <col min="15114" max="15114" width="8.85546875" style="62" bestFit="1" customWidth="1"/>
    <col min="15115" max="15115" width="9.140625" style="62"/>
    <col min="15116" max="15116" width="8.85546875" style="62" bestFit="1" customWidth="1"/>
    <col min="15117" max="15117" width="9" style="62" bestFit="1" customWidth="1"/>
    <col min="15118" max="15118" width="9" style="62" customWidth="1"/>
    <col min="15119" max="15119" width="8.85546875" style="62" bestFit="1" customWidth="1"/>
    <col min="15120" max="15122" width="9.140625" style="62"/>
    <col min="15123" max="15123" width="24.140625" style="62" bestFit="1" customWidth="1"/>
    <col min="15124" max="15124" width="10.42578125" style="62" customWidth="1"/>
    <col min="15125" max="15125" width="10.28515625" style="62" customWidth="1"/>
    <col min="15126" max="15360" width="9.140625" style="62"/>
    <col min="15361" max="15361" width="6.140625" style="62" customWidth="1"/>
    <col min="15362" max="15362" width="16.7109375" style="62" customWidth="1"/>
    <col min="15363" max="15364" width="9.85546875" style="62" bestFit="1" customWidth="1"/>
    <col min="15365" max="15365" width="9.140625" style="62" bestFit="1" customWidth="1"/>
    <col min="15366" max="15366" width="9.140625" style="62"/>
    <col min="15367" max="15367" width="9" style="62" customWidth="1"/>
    <col min="15368" max="15368" width="9.140625" style="62" bestFit="1" customWidth="1"/>
    <col min="15369" max="15369" width="9" style="62" customWidth="1"/>
    <col min="15370" max="15370" width="8.85546875" style="62" bestFit="1" customWidth="1"/>
    <col min="15371" max="15371" width="9.140625" style="62"/>
    <col min="15372" max="15372" width="8.85546875" style="62" bestFit="1" customWidth="1"/>
    <col min="15373" max="15373" width="9" style="62" bestFit="1" customWidth="1"/>
    <col min="15374" max="15374" width="9" style="62" customWidth="1"/>
    <col min="15375" max="15375" width="8.85546875" style="62" bestFit="1" customWidth="1"/>
    <col min="15376" max="15378" width="9.140625" style="62"/>
    <col min="15379" max="15379" width="24.140625" style="62" bestFit="1" customWidth="1"/>
    <col min="15380" max="15380" width="10.42578125" style="62" customWidth="1"/>
    <col min="15381" max="15381" width="10.28515625" style="62" customWidth="1"/>
    <col min="15382" max="15616" width="9.140625" style="62"/>
    <col min="15617" max="15617" width="6.140625" style="62" customWidth="1"/>
    <col min="15618" max="15618" width="16.7109375" style="62" customWidth="1"/>
    <col min="15619" max="15620" width="9.85546875" style="62" bestFit="1" customWidth="1"/>
    <col min="15621" max="15621" width="9.140625" style="62" bestFit="1" customWidth="1"/>
    <col min="15622" max="15622" width="9.140625" style="62"/>
    <col min="15623" max="15623" width="9" style="62" customWidth="1"/>
    <col min="15624" max="15624" width="9.140625" style="62" bestFit="1" customWidth="1"/>
    <col min="15625" max="15625" width="9" style="62" customWidth="1"/>
    <col min="15626" max="15626" width="8.85546875" style="62" bestFit="1" customWidth="1"/>
    <col min="15627" max="15627" width="9.140625" style="62"/>
    <col min="15628" max="15628" width="8.85546875" style="62" bestFit="1" customWidth="1"/>
    <col min="15629" max="15629" width="9" style="62" bestFit="1" customWidth="1"/>
    <col min="15630" max="15630" width="9" style="62" customWidth="1"/>
    <col min="15631" max="15631" width="8.85546875" style="62" bestFit="1" customWidth="1"/>
    <col min="15632" max="15634" width="9.140625" style="62"/>
    <col min="15635" max="15635" width="24.140625" style="62" bestFit="1" customWidth="1"/>
    <col min="15636" max="15636" width="10.42578125" style="62" customWidth="1"/>
    <col min="15637" max="15637" width="10.28515625" style="62" customWidth="1"/>
    <col min="15638" max="15872" width="9.140625" style="62"/>
    <col min="15873" max="15873" width="6.140625" style="62" customWidth="1"/>
    <col min="15874" max="15874" width="16.7109375" style="62" customWidth="1"/>
    <col min="15875" max="15876" width="9.85546875" style="62" bestFit="1" customWidth="1"/>
    <col min="15877" max="15877" width="9.140625" style="62" bestFit="1" customWidth="1"/>
    <col min="15878" max="15878" width="9.140625" style="62"/>
    <col min="15879" max="15879" width="9" style="62" customWidth="1"/>
    <col min="15880" max="15880" width="9.140625" style="62" bestFit="1" customWidth="1"/>
    <col min="15881" max="15881" width="9" style="62" customWidth="1"/>
    <col min="15882" max="15882" width="8.85546875" style="62" bestFit="1" customWidth="1"/>
    <col min="15883" max="15883" width="9.140625" style="62"/>
    <col min="15884" max="15884" width="8.85546875" style="62" bestFit="1" customWidth="1"/>
    <col min="15885" max="15885" width="9" style="62" bestFit="1" customWidth="1"/>
    <col min="15886" max="15886" width="9" style="62" customWidth="1"/>
    <col min="15887" max="15887" width="8.85546875" style="62" bestFit="1" customWidth="1"/>
    <col min="15888" max="15890" width="9.140625" style="62"/>
    <col min="15891" max="15891" width="24.140625" style="62" bestFit="1" customWidth="1"/>
    <col min="15892" max="15892" width="10.42578125" style="62" customWidth="1"/>
    <col min="15893" max="15893" width="10.28515625" style="62" customWidth="1"/>
    <col min="15894" max="16128" width="9.140625" style="62"/>
    <col min="16129" max="16129" width="6.140625" style="62" customWidth="1"/>
    <col min="16130" max="16130" width="16.7109375" style="62" customWidth="1"/>
    <col min="16131" max="16132" width="9.85546875" style="62" bestFit="1" customWidth="1"/>
    <col min="16133" max="16133" width="9.140625" style="62" bestFit="1" customWidth="1"/>
    <col min="16134" max="16134" width="9.140625" style="62"/>
    <col min="16135" max="16135" width="9" style="62" customWidth="1"/>
    <col min="16136" max="16136" width="9.140625" style="62" bestFit="1" customWidth="1"/>
    <col min="16137" max="16137" width="9" style="62" customWidth="1"/>
    <col min="16138" max="16138" width="8.85546875" style="62" bestFit="1" customWidth="1"/>
    <col min="16139" max="16139" width="9.140625" style="62"/>
    <col min="16140" max="16140" width="8.85546875" style="62" bestFit="1" customWidth="1"/>
    <col min="16141" max="16141" width="9" style="62" bestFit="1" customWidth="1"/>
    <col min="16142" max="16142" width="9" style="62" customWidth="1"/>
    <col min="16143" max="16143" width="8.85546875" style="62" bestFit="1" customWidth="1"/>
    <col min="16144" max="16146" width="9.140625" style="62"/>
    <col min="16147" max="16147" width="24.140625" style="62" bestFit="1" customWidth="1"/>
    <col min="16148" max="16148" width="10.42578125" style="62" customWidth="1"/>
    <col min="16149" max="16149" width="10.28515625" style="62" customWidth="1"/>
    <col min="16150" max="16384" width="9.140625" style="62"/>
  </cols>
  <sheetData>
    <row r="2" spans="2:15" ht="15">
      <c r="B2" s="202"/>
      <c r="C2" s="349" t="s">
        <v>510</v>
      </c>
      <c r="J2" s="64" t="s">
        <v>548</v>
      </c>
      <c r="K2" s="64"/>
    </row>
    <row r="3" spans="2:15" ht="9" thickBot="1">
      <c r="D3" s="220"/>
    </row>
    <row r="4" spans="2:15">
      <c r="B4" s="350"/>
      <c r="C4" s="351"/>
      <c r="D4" s="41">
        <f>DCLP!I3</f>
        <v>44348</v>
      </c>
      <c r="E4" s="41">
        <f>DCLP!J3</f>
        <v>44317</v>
      </c>
      <c r="F4" s="41">
        <f>DCLP!K3</f>
        <v>44287</v>
      </c>
      <c r="G4" s="41">
        <f>DCLP!L3</f>
        <v>44256</v>
      </c>
      <c r="H4" s="41">
        <f>DCLP!M3</f>
        <v>44228</v>
      </c>
      <c r="I4" s="41">
        <f>DCLP!N3</f>
        <v>44197</v>
      </c>
      <c r="J4" s="41">
        <f>DCLP!O3</f>
        <v>44166</v>
      </c>
      <c r="K4" s="41">
        <f>DCLP!P3</f>
        <v>44136</v>
      </c>
      <c r="L4" s="41">
        <f>DCLP!Q3</f>
        <v>44105</v>
      </c>
      <c r="M4" s="41">
        <f>DCLP!R3</f>
        <v>44075</v>
      </c>
      <c r="N4" s="41">
        <f>DCLP!S3</f>
        <v>44044</v>
      </c>
      <c r="O4" s="41">
        <f>DCLP!T3</f>
        <v>44013</v>
      </c>
    </row>
    <row r="5" spans="2:15" ht="9" thickBot="1">
      <c r="B5" s="352" t="s">
        <v>511</v>
      </c>
      <c r="C5" s="353"/>
      <c r="D5" s="42" t="s">
        <v>42</v>
      </c>
      <c r="E5" s="4" t="s">
        <v>43</v>
      </c>
      <c r="F5" s="42" t="s">
        <v>44</v>
      </c>
      <c r="G5" s="4" t="s">
        <v>45</v>
      </c>
      <c r="H5" s="42" t="s">
        <v>46</v>
      </c>
      <c r="I5" s="4" t="s">
        <v>47</v>
      </c>
      <c r="J5" s="42" t="s">
        <v>95</v>
      </c>
      <c r="K5" s="4" t="s">
        <v>96</v>
      </c>
      <c r="L5" s="42" t="s">
        <v>97</v>
      </c>
      <c r="M5" s="4" t="s">
        <v>98</v>
      </c>
      <c r="N5" s="42" t="s">
        <v>99</v>
      </c>
      <c r="O5" s="354" t="s">
        <v>100</v>
      </c>
    </row>
    <row r="6" spans="2:15">
      <c r="B6" s="355" t="s">
        <v>512</v>
      </c>
      <c r="C6" s="356">
        <f>(SUM(D6:O6))</f>
        <v>58634099.899999999</v>
      </c>
      <c r="D6" s="357">
        <f>DCLP!I50</f>
        <v>5284302.0699999994</v>
      </c>
      <c r="E6" s="357">
        <f>DCLP!J50</f>
        <v>5385680.8599999994</v>
      </c>
      <c r="F6" s="357">
        <f>DCLP!K50</f>
        <v>5135738.9000000004</v>
      </c>
      <c r="G6" s="357">
        <f>DCLP!L50</f>
        <v>5407951.3800000008</v>
      </c>
      <c r="H6" s="357">
        <f>DCLP!M50</f>
        <v>5277195.88</v>
      </c>
      <c r="I6" s="357">
        <f>DCLP!N50</f>
        <v>5046225.57</v>
      </c>
      <c r="J6" s="357">
        <f>DCLP!O50</f>
        <v>8446901.4600000009</v>
      </c>
      <c r="K6" s="357">
        <f>DCLP!P50</f>
        <v>3936544.64</v>
      </c>
      <c r="L6" s="357">
        <f>DCLP!Q50</f>
        <v>3713269.4099999992</v>
      </c>
      <c r="M6" s="357">
        <f>DCLP!R50</f>
        <v>3690050.3800000008</v>
      </c>
      <c r="N6" s="357">
        <f>DCLP!S50</f>
        <v>3665722.6599999992</v>
      </c>
      <c r="O6" s="357">
        <f>DCLP!T50</f>
        <v>3644516.6900000004</v>
      </c>
    </row>
    <row r="7" spans="2:15">
      <c r="B7" s="265" t="s">
        <v>513</v>
      </c>
      <c r="C7" s="199">
        <f>SUM(D7:O7)</f>
        <v>103790631.47</v>
      </c>
      <c r="D7" s="199">
        <f>RCL!D37</f>
        <v>8172315.3299999982</v>
      </c>
      <c r="E7" s="199">
        <f>RCL!E37</f>
        <v>9079103.8800000008</v>
      </c>
      <c r="F7" s="199">
        <f>RCL!F37</f>
        <v>8675963.9700000007</v>
      </c>
      <c r="G7" s="199">
        <f>RCL!G37</f>
        <v>8319725.8799999999</v>
      </c>
      <c r="H7" s="199">
        <f>RCL!H37</f>
        <v>8112075.9800000004</v>
      </c>
      <c r="I7" s="199">
        <f>RCL!I37</f>
        <v>9442134.8199999984</v>
      </c>
      <c r="J7" s="199">
        <f>RCL!J37</f>
        <v>11323652.91</v>
      </c>
      <c r="K7" s="199">
        <f>RCL!K37</f>
        <v>7283220.8100000015</v>
      </c>
      <c r="L7" s="199">
        <f>RCL!L37</f>
        <v>7746476.3799999999</v>
      </c>
      <c r="M7" s="199">
        <f>RCL!M37</f>
        <v>8694838.4100000001</v>
      </c>
      <c r="N7" s="199">
        <f>RCL!N37</f>
        <v>8269016.5300000003</v>
      </c>
      <c r="O7" s="199">
        <f>RCL!O37</f>
        <v>8672106.5699999984</v>
      </c>
    </row>
    <row r="8" spans="2:15">
      <c r="B8" s="132" t="s">
        <v>514</v>
      </c>
      <c r="C8" s="358">
        <f>C6/C7</f>
        <v>0.56492670937210554</v>
      </c>
      <c r="D8" s="239">
        <f>D6/D7</f>
        <v>0.64661015350223894</v>
      </c>
      <c r="E8" s="239">
        <f t="shared" ref="E8:O8" si="0">E6/E7</f>
        <v>0.59319520199167486</v>
      </c>
      <c r="F8" s="239">
        <f t="shared" si="0"/>
        <v>0.59195023374445843</v>
      </c>
      <c r="G8" s="239">
        <f t="shared" si="0"/>
        <v>0.6500155723880654</v>
      </c>
      <c r="H8" s="239">
        <f t="shared" si="0"/>
        <v>0.65053580526251431</v>
      </c>
      <c r="I8" s="239">
        <f t="shared" si="0"/>
        <v>0.5344369325580125</v>
      </c>
      <c r="J8" s="239">
        <f t="shared" si="0"/>
        <v>0.7459519933307458</v>
      </c>
      <c r="K8" s="239">
        <f t="shared" si="0"/>
        <v>0.54049502859985366</v>
      </c>
      <c r="L8" s="239">
        <f t="shared" si="0"/>
        <v>0.47934947811717193</v>
      </c>
      <c r="M8" s="239">
        <f t="shared" si="0"/>
        <v>0.42439550984133823</v>
      </c>
      <c r="N8" s="239">
        <f t="shared" si="0"/>
        <v>0.44330817899574315</v>
      </c>
      <c r="O8" s="239">
        <f t="shared" si="0"/>
        <v>0.42025736890823301</v>
      </c>
    </row>
    <row r="9" spans="2:15">
      <c r="B9" s="265" t="s">
        <v>515</v>
      </c>
      <c r="C9" s="241">
        <v>0.54</v>
      </c>
      <c r="D9" s="241">
        <v>0.54</v>
      </c>
      <c r="E9" s="241">
        <v>0.54</v>
      </c>
      <c r="F9" s="241">
        <v>0.54</v>
      </c>
      <c r="G9" s="241">
        <v>0.54</v>
      </c>
      <c r="H9" s="241">
        <v>0.54</v>
      </c>
      <c r="I9" s="241">
        <v>0.54</v>
      </c>
      <c r="J9" s="241">
        <v>0.54</v>
      </c>
      <c r="K9" s="241">
        <v>0.54</v>
      </c>
      <c r="L9" s="241">
        <v>0.54</v>
      </c>
      <c r="M9" s="241">
        <v>0.54</v>
      </c>
      <c r="N9" s="241">
        <v>0.54</v>
      </c>
      <c r="O9" s="241">
        <v>0.54</v>
      </c>
    </row>
    <row r="10" spans="2:15">
      <c r="B10" s="373"/>
      <c r="C10" s="372"/>
      <c r="D10" s="359"/>
      <c r="E10" s="359"/>
      <c r="F10" s="359"/>
      <c r="G10" s="359"/>
      <c r="H10" s="359"/>
      <c r="I10" s="359"/>
      <c r="J10" s="359"/>
      <c r="K10" s="359"/>
      <c r="L10" s="359"/>
      <c r="M10" s="359"/>
      <c r="N10" s="359"/>
      <c r="O10" s="359"/>
    </row>
    <row r="11" spans="2:15">
      <c r="C11" s="250"/>
      <c r="D11" s="250"/>
      <c r="E11" s="250"/>
      <c r="F11" s="250"/>
    </row>
    <row r="23" spans="17:17">
      <c r="Q23" s="362"/>
    </row>
    <row r="53" spans="2:11">
      <c r="B53" s="102" t="s">
        <v>516</v>
      </c>
      <c r="C53" s="125" t="s">
        <v>517</v>
      </c>
    </row>
    <row r="57" spans="2:11" s="60" customFormat="1" ht="11.25">
      <c r="B57" s="57"/>
      <c r="C57" s="58" t="s">
        <v>109</v>
      </c>
      <c r="D57" s="57"/>
      <c r="E57" s="57"/>
      <c r="F57" s="59" t="s">
        <v>110</v>
      </c>
      <c r="G57" s="59"/>
      <c r="I57" s="58"/>
      <c r="J57" s="61" t="s">
        <v>111</v>
      </c>
      <c r="K57" s="61"/>
    </row>
    <row r="58" spans="2:11" s="60" customFormat="1" ht="11.25">
      <c r="B58" s="57"/>
      <c r="C58" s="58" t="s">
        <v>112</v>
      </c>
      <c r="D58" s="57"/>
      <c r="E58" s="57"/>
      <c r="F58" s="59" t="s">
        <v>113</v>
      </c>
      <c r="G58" s="59"/>
      <c r="I58" s="58"/>
      <c r="J58" s="61" t="s">
        <v>114</v>
      </c>
      <c r="K58" s="61"/>
    </row>
    <row r="59" spans="2:11">
      <c r="F59" s="63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2:C40"/>
  <sheetViews>
    <sheetView workbookViewId="0"/>
  </sheetViews>
  <sheetFormatPr defaultRowHeight="15"/>
  <cols>
    <col min="1" max="1" width="45.42578125" customWidth="1"/>
    <col min="2" max="2" width="27.140625" bestFit="1" customWidth="1"/>
    <col min="3" max="3" width="18.7109375" customWidth="1"/>
    <col min="4" max="5" width="15.7109375" customWidth="1"/>
  </cols>
  <sheetData>
    <row r="2" spans="1:3">
      <c r="A2" s="582" t="s">
        <v>1299</v>
      </c>
      <c r="B2" s="582"/>
      <c r="C2" s="582"/>
    </row>
    <row r="3" spans="1:3">
      <c r="A3" s="582" t="s">
        <v>1300</v>
      </c>
      <c r="B3" s="582"/>
      <c r="C3" s="582"/>
    </row>
    <row r="4" spans="1:3">
      <c r="A4" s="583" t="s">
        <v>1301</v>
      </c>
      <c r="B4" s="583"/>
      <c r="C4" s="583"/>
    </row>
    <row r="5" spans="1:3">
      <c r="A5" s="582" t="s">
        <v>1302</v>
      </c>
      <c r="B5" s="582"/>
      <c r="C5" s="582"/>
    </row>
    <row r="6" spans="1:3">
      <c r="A6" s="582" t="s">
        <v>1303</v>
      </c>
      <c r="B6" s="582"/>
      <c r="C6" s="582"/>
    </row>
    <row r="8" spans="1:3">
      <c r="A8" s="433" t="s">
        <v>1304</v>
      </c>
      <c r="C8" s="434" t="s">
        <v>1305</v>
      </c>
    </row>
    <row r="9" spans="1:3">
      <c r="A9" s="435" t="s">
        <v>1306</v>
      </c>
      <c r="B9" s="790" t="s">
        <v>1307</v>
      </c>
      <c r="C9" s="791"/>
    </row>
    <row r="10" spans="1:3">
      <c r="A10" s="436" t="s">
        <v>1308</v>
      </c>
      <c r="B10" s="787">
        <v>103790631.47</v>
      </c>
      <c r="C10" s="788"/>
    </row>
    <row r="11" spans="1:3">
      <c r="A11" s="437" t="s">
        <v>1230</v>
      </c>
      <c r="B11" s="787">
        <v>103990631.47</v>
      </c>
      <c r="C11" s="788"/>
    </row>
    <row r="12" spans="1:3">
      <c r="A12" s="438" t="s">
        <v>1231</v>
      </c>
      <c r="B12" s="787">
        <v>103990631.47</v>
      </c>
      <c r="C12" s="788"/>
    </row>
    <row r="14" spans="1:3">
      <c r="A14" s="435" t="s">
        <v>1309</v>
      </c>
      <c r="B14" s="439" t="s">
        <v>1310</v>
      </c>
      <c r="C14" s="440" t="s">
        <v>1311</v>
      </c>
    </row>
    <row r="15" spans="1:3">
      <c r="A15" s="436" t="s">
        <v>1312</v>
      </c>
      <c r="B15" s="441">
        <f>58634099.9</f>
        <v>58634099.899999999</v>
      </c>
      <c r="C15" s="442">
        <f>(B15/B10)*100</f>
        <v>56.492670937210555</v>
      </c>
    </row>
    <row r="16" spans="1:3">
      <c r="A16" s="437" t="s">
        <v>1313</v>
      </c>
      <c r="B16" s="443">
        <f>B10*0.54</f>
        <v>56046940.993799999</v>
      </c>
      <c r="C16" s="444">
        <v>54</v>
      </c>
    </row>
    <row r="17" spans="1:3">
      <c r="A17" s="437" t="s">
        <v>1314</v>
      </c>
      <c r="B17" s="443">
        <f>B10*0.513</f>
        <v>53244593.944109999</v>
      </c>
      <c r="C17" s="444">
        <v>51.3</v>
      </c>
    </row>
    <row r="18" spans="1:3">
      <c r="A18" s="438" t="s">
        <v>1315</v>
      </c>
      <c r="B18" s="445">
        <f>B10*0.486</f>
        <v>50442246.894419998</v>
      </c>
      <c r="C18" s="446">
        <v>48.6</v>
      </c>
    </row>
    <row r="20" spans="1:3">
      <c r="A20" s="435" t="s">
        <v>1316</v>
      </c>
      <c r="B20" s="439" t="s">
        <v>1317</v>
      </c>
      <c r="C20" s="440" t="s">
        <v>1311</v>
      </c>
    </row>
    <row r="21" spans="1:3">
      <c r="A21" s="436" t="s">
        <v>1318</v>
      </c>
      <c r="B21" s="441" t="s">
        <v>1319</v>
      </c>
      <c r="C21" s="442">
        <f>(B21/B11)*100</f>
        <v>1.7569551066021623</v>
      </c>
    </row>
    <row r="22" spans="1:3">
      <c r="A22" s="438" t="s">
        <v>1321</v>
      </c>
      <c r="B22" s="445">
        <v>0</v>
      </c>
      <c r="C22" s="446">
        <v>0</v>
      </c>
    </row>
    <row r="24" spans="1:3">
      <c r="A24" s="435" t="s">
        <v>1322</v>
      </c>
      <c r="B24" s="439" t="s">
        <v>1317</v>
      </c>
      <c r="C24" s="440" t="s">
        <v>1311</v>
      </c>
    </row>
    <row r="25" spans="1:3">
      <c r="A25" s="436" t="s">
        <v>1323</v>
      </c>
      <c r="B25" s="441">
        <v>0</v>
      </c>
      <c r="C25" s="442">
        <v>0</v>
      </c>
    </row>
    <row r="26" spans="1:3">
      <c r="A26" s="438" t="s">
        <v>1321</v>
      </c>
      <c r="B26" s="445">
        <v>0</v>
      </c>
      <c r="C26" s="446">
        <v>0</v>
      </c>
    </row>
    <row r="28" spans="1:3">
      <c r="A28" s="435" t="s">
        <v>1324</v>
      </c>
      <c r="B28" s="439" t="s">
        <v>1310</v>
      </c>
      <c r="C28" s="440" t="s">
        <v>1311</v>
      </c>
    </row>
    <row r="29" spans="1:3">
      <c r="A29" s="436" t="s">
        <v>1325</v>
      </c>
      <c r="B29" s="441">
        <v>0</v>
      </c>
      <c r="C29" s="442">
        <v>0</v>
      </c>
    </row>
    <row r="30" spans="1:3">
      <c r="A30" s="437" t="s">
        <v>1326</v>
      </c>
      <c r="B30" s="26"/>
      <c r="C30" s="447"/>
    </row>
    <row r="31" spans="1:3">
      <c r="A31" s="437" t="s">
        <v>1327</v>
      </c>
      <c r="B31" s="443">
        <v>0</v>
      </c>
      <c r="C31" s="444">
        <v>0</v>
      </c>
    </row>
    <row r="32" spans="1:3">
      <c r="A32" s="437" t="s">
        <v>1328</v>
      </c>
      <c r="B32" s="443">
        <v>0</v>
      </c>
      <c r="C32" s="444">
        <v>0</v>
      </c>
    </row>
    <row r="33" spans="1:3">
      <c r="A33" s="437" t="s">
        <v>1326</v>
      </c>
      <c r="B33" s="26"/>
      <c r="C33" s="447"/>
    </row>
    <row r="34" spans="1:3">
      <c r="A34" s="438" t="s">
        <v>1329</v>
      </c>
      <c r="B34" s="445">
        <v>0</v>
      </c>
      <c r="C34" s="446">
        <v>0</v>
      </c>
    </row>
    <row r="35" spans="1:3">
      <c r="A35" s="789" t="s">
        <v>1330</v>
      </c>
      <c r="B35" s="789"/>
      <c r="C35" s="789"/>
    </row>
    <row r="39" spans="1:3">
      <c r="A39" s="221" t="s">
        <v>109</v>
      </c>
      <c r="B39" s="221" t="s">
        <v>110</v>
      </c>
      <c r="C39" s="187" t="s">
        <v>111</v>
      </c>
    </row>
    <row r="40" spans="1:3">
      <c r="A40" s="221" t="s">
        <v>112</v>
      </c>
      <c r="B40" s="60" t="s">
        <v>113</v>
      </c>
      <c r="C40" s="60" t="s">
        <v>114</v>
      </c>
    </row>
  </sheetData>
  <mergeCells count="10">
    <mergeCell ref="B10:C10"/>
    <mergeCell ref="B11:C11"/>
    <mergeCell ref="B12:C12"/>
    <mergeCell ref="A35:C35"/>
    <mergeCell ref="A2:C2"/>
    <mergeCell ref="A3:C3"/>
    <mergeCell ref="A4:C4"/>
    <mergeCell ref="A5:C5"/>
    <mergeCell ref="A6:C6"/>
    <mergeCell ref="B9:C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2:L78"/>
  <sheetViews>
    <sheetView workbookViewId="0">
      <selection activeCell="F35" sqref="F35"/>
    </sheetView>
  </sheetViews>
  <sheetFormatPr defaultRowHeight="15"/>
  <cols>
    <col min="1" max="1" width="2.42578125" customWidth="1"/>
    <col min="2" max="2" width="10" customWidth="1"/>
    <col min="3" max="3" width="38.140625" style="1" customWidth="1"/>
    <col min="4" max="4" width="5.140625" style="1" customWidth="1"/>
    <col min="5" max="5" width="13.7109375" style="1" bestFit="1" customWidth="1"/>
    <col min="6" max="9" width="10.85546875" style="1" bestFit="1" customWidth="1"/>
    <col min="10" max="10" width="11.42578125" style="1" bestFit="1" customWidth="1"/>
    <col min="11" max="11" width="11.42578125" style="1" customWidth="1"/>
    <col min="12" max="12" width="5.5703125" bestFit="1" customWidth="1"/>
    <col min="259" max="259" width="2.42578125" customWidth="1"/>
    <col min="260" max="260" width="10" customWidth="1"/>
    <col min="261" max="261" width="44.85546875" customWidth="1"/>
    <col min="262" max="262" width="5.140625" customWidth="1"/>
    <col min="263" max="263" width="13.7109375" bestFit="1" customWidth="1"/>
    <col min="264" max="266" width="12.7109375" bestFit="1" customWidth="1"/>
    <col min="267" max="267" width="13.7109375" bestFit="1" customWidth="1"/>
    <col min="268" max="268" width="5.5703125" bestFit="1" customWidth="1"/>
    <col min="515" max="515" width="2.42578125" customWidth="1"/>
    <col min="516" max="516" width="10" customWidth="1"/>
    <col min="517" max="517" width="44.85546875" customWidth="1"/>
    <col min="518" max="518" width="5.140625" customWidth="1"/>
    <col min="519" max="519" width="13.7109375" bestFit="1" customWidth="1"/>
    <col min="520" max="522" width="12.7109375" bestFit="1" customWidth="1"/>
    <col min="523" max="523" width="13.7109375" bestFit="1" customWidth="1"/>
    <col min="524" max="524" width="5.5703125" bestFit="1" customWidth="1"/>
    <col min="771" max="771" width="2.42578125" customWidth="1"/>
    <col min="772" max="772" width="10" customWidth="1"/>
    <col min="773" max="773" width="44.85546875" customWidth="1"/>
    <col min="774" max="774" width="5.140625" customWidth="1"/>
    <col min="775" max="775" width="13.7109375" bestFit="1" customWidth="1"/>
    <col min="776" max="778" width="12.7109375" bestFit="1" customWidth="1"/>
    <col min="779" max="779" width="13.7109375" bestFit="1" customWidth="1"/>
    <col min="780" max="780" width="5.5703125" bestFit="1" customWidth="1"/>
    <col min="1027" max="1027" width="2.42578125" customWidth="1"/>
    <col min="1028" max="1028" width="10" customWidth="1"/>
    <col min="1029" max="1029" width="44.85546875" customWidth="1"/>
    <col min="1030" max="1030" width="5.140625" customWidth="1"/>
    <col min="1031" max="1031" width="13.7109375" bestFit="1" customWidth="1"/>
    <col min="1032" max="1034" width="12.7109375" bestFit="1" customWidth="1"/>
    <col min="1035" max="1035" width="13.7109375" bestFit="1" customWidth="1"/>
    <col min="1036" max="1036" width="5.5703125" bestFit="1" customWidth="1"/>
    <col min="1283" max="1283" width="2.42578125" customWidth="1"/>
    <col min="1284" max="1284" width="10" customWidth="1"/>
    <col min="1285" max="1285" width="44.85546875" customWidth="1"/>
    <col min="1286" max="1286" width="5.140625" customWidth="1"/>
    <col min="1287" max="1287" width="13.7109375" bestFit="1" customWidth="1"/>
    <col min="1288" max="1290" width="12.7109375" bestFit="1" customWidth="1"/>
    <col min="1291" max="1291" width="13.7109375" bestFit="1" customWidth="1"/>
    <col min="1292" max="1292" width="5.5703125" bestFit="1" customWidth="1"/>
    <col min="1539" max="1539" width="2.42578125" customWidth="1"/>
    <col min="1540" max="1540" width="10" customWidth="1"/>
    <col min="1541" max="1541" width="44.85546875" customWidth="1"/>
    <col min="1542" max="1542" width="5.140625" customWidth="1"/>
    <col min="1543" max="1543" width="13.7109375" bestFit="1" customWidth="1"/>
    <col min="1544" max="1546" width="12.7109375" bestFit="1" customWidth="1"/>
    <col min="1547" max="1547" width="13.7109375" bestFit="1" customWidth="1"/>
    <col min="1548" max="1548" width="5.5703125" bestFit="1" customWidth="1"/>
    <col min="1795" max="1795" width="2.42578125" customWidth="1"/>
    <col min="1796" max="1796" width="10" customWidth="1"/>
    <col min="1797" max="1797" width="44.85546875" customWidth="1"/>
    <col min="1798" max="1798" width="5.140625" customWidth="1"/>
    <col min="1799" max="1799" width="13.7109375" bestFit="1" customWidth="1"/>
    <col min="1800" max="1802" width="12.7109375" bestFit="1" customWidth="1"/>
    <col min="1803" max="1803" width="13.7109375" bestFit="1" customWidth="1"/>
    <col min="1804" max="1804" width="5.5703125" bestFit="1" customWidth="1"/>
    <col min="2051" max="2051" width="2.42578125" customWidth="1"/>
    <col min="2052" max="2052" width="10" customWidth="1"/>
    <col min="2053" max="2053" width="44.85546875" customWidth="1"/>
    <col min="2054" max="2054" width="5.140625" customWidth="1"/>
    <col min="2055" max="2055" width="13.7109375" bestFit="1" customWidth="1"/>
    <col min="2056" max="2058" width="12.7109375" bestFit="1" customWidth="1"/>
    <col min="2059" max="2059" width="13.7109375" bestFit="1" customWidth="1"/>
    <col min="2060" max="2060" width="5.5703125" bestFit="1" customWidth="1"/>
    <col min="2307" max="2307" width="2.42578125" customWidth="1"/>
    <col min="2308" max="2308" width="10" customWidth="1"/>
    <col min="2309" max="2309" width="44.85546875" customWidth="1"/>
    <col min="2310" max="2310" width="5.140625" customWidth="1"/>
    <col min="2311" max="2311" width="13.7109375" bestFit="1" customWidth="1"/>
    <col min="2312" max="2314" width="12.7109375" bestFit="1" customWidth="1"/>
    <col min="2315" max="2315" width="13.7109375" bestFit="1" customWidth="1"/>
    <col min="2316" max="2316" width="5.5703125" bestFit="1" customWidth="1"/>
    <col min="2563" max="2563" width="2.42578125" customWidth="1"/>
    <col min="2564" max="2564" width="10" customWidth="1"/>
    <col min="2565" max="2565" width="44.85546875" customWidth="1"/>
    <col min="2566" max="2566" width="5.140625" customWidth="1"/>
    <col min="2567" max="2567" width="13.7109375" bestFit="1" customWidth="1"/>
    <col min="2568" max="2570" width="12.7109375" bestFit="1" customWidth="1"/>
    <col min="2571" max="2571" width="13.7109375" bestFit="1" customWidth="1"/>
    <col min="2572" max="2572" width="5.5703125" bestFit="1" customWidth="1"/>
    <col min="2819" max="2819" width="2.42578125" customWidth="1"/>
    <col min="2820" max="2820" width="10" customWidth="1"/>
    <col min="2821" max="2821" width="44.85546875" customWidth="1"/>
    <col min="2822" max="2822" width="5.140625" customWidth="1"/>
    <col min="2823" max="2823" width="13.7109375" bestFit="1" customWidth="1"/>
    <col min="2824" max="2826" width="12.7109375" bestFit="1" customWidth="1"/>
    <col min="2827" max="2827" width="13.7109375" bestFit="1" customWidth="1"/>
    <col min="2828" max="2828" width="5.5703125" bestFit="1" customWidth="1"/>
    <col min="3075" max="3075" width="2.42578125" customWidth="1"/>
    <col min="3076" max="3076" width="10" customWidth="1"/>
    <col min="3077" max="3077" width="44.85546875" customWidth="1"/>
    <col min="3078" max="3078" width="5.140625" customWidth="1"/>
    <col min="3079" max="3079" width="13.7109375" bestFit="1" customWidth="1"/>
    <col min="3080" max="3082" width="12.7109375" bestFit="1" customWidth="1"/>
    <col min="3083" max="3083" width="13.7109375" bestFit="1" customWidth="1"/>
    <col min="3084" max="3084" width="5.5703125" bestFit="1" customWidth="1"/>
    <col min="3331" max="3331" width="2.42578125" customWidth="1"/>
    <col min="3332" max="3332" width="10" customWidth="1"/>
    <col min="3333" max="3333" width="44.85546875" customWidth="1"/>
    <col min="3334" max="3334" width="5.140625" customWidth="1"/>
    <col min="3335" max="3335" width="13.7109375" bestFit="1" customWidth="1"/>
    <col min="3336" max="3338" width="12.7109375" bestFit="1" customWidth="1"/>
    <col min="3339" max="3339" width="13.7109375" bestFit="1" customWidth="1"/>
    <col min="3340" max="3340" width="5.5703125" bestFit="1" customWidth="1"/>
    <col min="3587" max="3587" width="2.42578125" customWidth="1"/>
    <col min="3588" max="3588" width="10" customWidth="1"/>
    <col min="3589" max="3589" width="44.85546875" customWidth="1"/>
    <col min="3590" max="3590" width="5.140625" customWidth="1"/>
    <col min="3591" max="3591" width="13.7109375" bestFit="1" customWidth="1"/>
    <col min="3592" max="3594" width="12.7109375" bestFit="1" customWidth="1"/>
    <col min="3595" max="3595" width="13.7109375" bestFit="1" customWidth="1"/>
    <col min="3596" max="3596" width="5.5703125" bestFit="1" customWidth="1"/>
    <col min="3843" max="3843" width="2.42578125" customWidth="1"/>
    <col min="3844" max="3844" width="10" customWidth="1"/>
    <col min="3845" max="3845" width="44.85546875" customWidth="1"/>
    <col min="3846" max="3846" width="5.140625" customWidth="1"/>
    <col min="3847" max="3847" width="13.7109375" bestFit="1" customWidth="1"/>
    <col min="3848" max="3850" width="12.7109375" bestFit="1" customWidth="1"/>
    <col min="3851" max="3851" width="13.7109375" bestFit="1" customWidth="1"/>
    <col min="3852" max="3852" width="5.5703125" bestFit="1" customWidth="1"/>
    <col min="4099" max="4099" width="2.42578125" customWidth="1"/>
    <col min="4100" max="4100" width="10" customWidth="1"/>
    <col min="4101" max="4101" width="44.85546875" customWidth="1"/>
    <col min="4102" max="4102" width="5.140625" customWidth="1"/>
    <col min="4103" max="4103" width="13.7109375" bestFit="1" customWidth="1"/>
    <col min="4104" max="4106" width="12.7109375" bestFit="1" customWidth="1"/>
    <col min="4107" max="4107" width="13.7109375" bestFit="1" customWidth="1"/>
    <col min="4108" max="4108" width="5.5703125" bestFit="1" customWidth="1"/>
    <col min="4355" max="4355" width="2.42578125" customWidth="1"/>
    <col min="4356" max="4356" width="10" customWidth="1"/>
    <col min="4357" max="4357" width="44.85546875" customWidth="1"/>
    <col min="4358" max="4358" width="5.140625" customWidth="1"/>
    <col min="4359" max="4359" width="13.7109375" bestFit="1" customWidth="1"/>
    <col min="4360" max="4362" width="12.7109375" bestFit="1" customWidth="1"/>
    <col min="4363" max="4363" width="13.7109375" bestFit="1" customWidth="1"/>
    <col min="4364" max="4364" width="5.5703125" bestFit="1" customWidth="1"/>
    <col min="4611" max="4611" width="2.42578125" customWidth="1"/>
    <col min="4612" max="4612" width="10" customWidth="1"/>
    <col min="4613" max="4613" width="44.85546875" customWidth="1"/>
    <col min="4614" max="4614" width="5.140625" customWidth="1"/>
    <col min="4615" max="4615" width="13.7109375" bestFit="1" customWidth="1"/>
    <col min="4616" max="4618" width="12.7109375" bestFit="1" customWidth="1"/>
    <col min="4619" max="4619" width="13.7109375" bestFit="1" customWidth="1"/>
    <col min="4620" max="4620" width="5.5703125" bestFit="1" customWidth="1"/>
    <col min="4867" max="4867" width="2.42578125" customWidth="1"/>
    <col min="4868" max="4868" width="10" customWidth="1"/>
    <col min="4869" max="4869" width="44.85546875" customWidth="1"/>
    <col min="4870" max="4870" width="5.140625" customWidth="1"/>
    <col min="4871" max="4871" width="13.7109375" bestFit="1" customWidth="1"/>
    <col min="4872" max="4874" width="12.7109375" bestFit="1" customWidth="1"/>
    <col min="4875" max="4875" width="13.7109375" bestFit="1" customWidth="1"/>
    <col min="4876" max="4876" width="5.5703125" bestFit="1" customWidth="1"/>
    <col min="5123" max="5123" width="2.42578125" customWidth="1"/>
    <col min="5124" max="5124" width="10" customWidth="1"/>
    <col min="5125" max="5125" width="44.85546875" customWidth="1"/>
    <col min="5126" max="5126" width="5.140625" customWidth="1"/>
    <col min="5127" max="5127" width="13.7109375" bestFit="1" customWidth="1"/>
    <col min="5128" max="5130" width="12.7109375" bestFit="1" customWidth="1"/>
    <col min="5131" max="5131" width="13.7109375" bestFit="1" customWidth="1"/>
    <col min="5132" max="5132" width="5.5703125" bestFit="1" customWidth="1"/>
    <col min="5379" max="5379" width="2.42578125" customWidth="1"/>
    <col min="5380" max="5380" width="10" customWidth="1"/>
    <col min="5381" max="5381" width="44.85546875" customWidth="1"/>
    <col min="5382" max="5382" width="5.140625" customWidth="1"/>
    <col min="5383" max="5383" width="13.7109375" bestFit="1" customWidth="1"/>
    <col min="5384" max="5386" width="12.7109375" bestFit="1" customWidth="1"/>
    <col min="5387" max="5387" width="13.7109375" bestFit="1" customWidth="1"/>
    <col min="5388" max="5388" width="5.5703125" bestFit="1" customWidth="1"/>
    <col min="5635" max="5635" width="2.42578125" customWidth="1"/>
    <col min="5636" max="5636" width="10" customWidth="1"/>
    <col min="5637" max="5637" width="44.85546875" customWidth="1"/>
    <col min="5638" max="5638" width="5.140625" customWidth="1"/>
    <col min="5639" max="5639" width="13.7109375" bestFit="1" customWidth="1"/>
    <col min="5640" max="5642" width="12.7109375" bestFit="1" customWidth="1"/>
    <col min="5643" max="5643" width="13.7109375" bestFit="1" customWidth="1"/>
    <col min="5644" max="5644" width="5.5703125" bestFit="1" customWidth="1"/>
    <col min="5891" max="5891" width="2.42578125" customWidth="1"/>
    <col min="5892" max="5892" width="10" customWidth="1"/>
    <col min="5893" max="5893" width="44.85546875" customWidth="1"/>
    <col min="5894" max="5894" width="5.140625" customWidth="1"/>
    <col min="5895" max="5895" width="13.7109375" bestFit="1" customWidth="1"/>
    <col min="5896" max="5898" width="12.7109375" bestFit="1" customWidth="1"/>
    <col min="5899" max="5899" width="13.7109375" bestFit="1" customWidth="1"/>
    <col min="5900" max="5900" width="5.5703125" bestFit="1" customWidth="1"/>
    <col min="6147" max="6147" width="2.42578125" customWidth="1"/>
    <col min="6148" max="6148" width="10" customWidth="1"/>
    <col min="6149" max="6149" width="44.85546875" customWidth="1"/>
    <col min="6150" max="6150" width="5.140625" customWidth="1"/>
    <col min="6151" max="6151" width="13.7109375" bestFit="1" customWidth="1"/>
    <col min="6152" max="6154" width="12.7109375" bestFit="1" customWidth="1"/>
    <col min="6155" max="6155" width="13.7109375" bestFit="1" customWidth="1"/>
    <col min="6156" max="6156" width="5.5703125" bestFit="1" customWidth="1"/>
    <col min="6403" max="6403" width="2.42578125" customWidth="1"/>
    <col min="6404" max="6404" width="10" customWidth="1"/>
    <col min="6405" max="6405" width="44.85546875" customWidth="1"/>
    <col min="6406" max="6406" width="5.140625" customWidth="1"/>
    <col min="6407" max="6407" width="13.7109375" bestFit="1" customWidth="1"/>
    <col min="6408" max="6410" width="12.7109375" bestFit="1" customWidth="1"/>
    <col min="6411" max="6411" width="13.7109375" bestFit="1" customWidth="1"/>
    <col min="6412" max="6412" width="5.5703125" bestFit="1" customWidth="1"/>
    <col min="6659" max="6659" width="2.42578125" customWidth="1"/>
    <col min="6660" max="6660" width="10" customWidth="1"/>
    <col min="6661" max="6661" width="44.85546875" customWidth="1"/>
    <col min="6662" max="6662" width="5.140625" customWidth="1"/>
    <col min="6663" max="6663" width="13.7109375" bestFit="1" customWidth="1"/>
    <col min="6664" max="6666" width="12.7109375" bestFit="1" customWidth="1"/>
    <col min="6667" max="6667" width="13.7109375" bestFit="1" customWidth="1"/>
    <col min="6668" max="6668" width="5.5703125" bestFit="1" customWidth="1"/>
    <col min="6915" max="6915" width="2.42578125" customWidth="1"/>
    <col min="6916" max="6916" width="10" customWidth="1"/>
    <col min="6917" max="6917" width="44.85546875" customWidth="1"/>
    <col min="6918" max="6918" width="5.140625" customWidth="1"/>
    <col min="6919" max="6919" width="13.7109375" bestFit="1" customWidth="1"/>
    <col min="6920" max="6922" width="12.7109375" bestFit="1" customWidth="1"/>
    <col min="6923" max="6923" width="13.7109375" bestFit="1" customWidth="1"/>
    <col min="6924" max="6924" width="5.5703125" bestFit="1" customWidth="1"/>
    <col min="7171" max="7171" width="2.42578125" customWidth="1"/>
    <col min="7172" max="7172" width="10" customWidth="1"/>
    <col min="7173" max="7173" width="44.85546875" customWidth="1"/>
    <col min="7174" max="7174" width="5.140625" customWidth="1"/>
    <col min="7175" max="7175" width="13.7109375" bestFit="1" customWidth="1"/>
    <col min="7176" max="7178" width="12.7109375" bestFit="1" customWidth="1"/>
    <col min="7179" max="7179" width="13.7109375" bestFit="1" customWidth="1"/>
    <col min="7180" max="7180" width="5.5703125" bestFit="1" customWidth="1"/>
    <col min="7427" max="7427" width="2.42578125" customWidth="1"/>
    <col min="7428" max="7428" width="10" customWidth="1"/>
    <col min="7429" max="7429" width="44.85546875" customWidth="1"/>
    <col min="7430" max="7430" width="5.140625" customWidth="1"/>
    <col min="7431" max="7431" width="13.7109375" bestFit="1" customWidth="1"/>
    <col min="7432" max="7434" width="12.7109375" bestFit="1" customWidth="1"/>
    <col min="7435" max="7435" width="13.7109375" bestFit="1" customWidth="1"/>
    <col min="7436" max="7436" width="5.5703125" bestFit="1" customWidth="1"/>
    <col min="7683" max="7683" width="2.42578125" customWidth="1"/>
    <col min="7684" max="7684" width="10" customWidth="1"/>
    <col min="7685" max="7685" width="44.85546875" customWidth="1"/>
    <col min="7686" max="7686" width="5.140625" customWidth="1"/>
    <col min="7687" max="7687" width="13.7109375" bestFit="1" customWidth="1"/>
    <col min="7688" max="7690" width="12.7109375" bestFit="1" customWidth="1"/>
    <col min="7691" max="7691" width="13.7109375" bestFit="1" customWidth="1"/>
    <col min="7692" max="7692" width="5.5703125" bestFit="1" customWidth="1"/>
    <col min="7939" max="7939" width="2.42578125" customWidth="1"/>
    <col min="7940" max="7940" width="10" customWidth="1"/>
    <col min="7941" max="7941" width="44.85546875" customWidth="1"/>
    <col min="7942" max="7942" width="5.140625" customWidth="1"/>
    <col min="7943" max="7943" width="13.7109375" bestFit="1" customWidth="1"/>
    <col min="7944" max="7946" width="12.7109375" bestFit="1" customWidth="1"/>
    <col min="7947" max="7947" width="13.7109375" bestFit="1" customWidth="1"/>
    <col min="7948" max="7948" width="5.5703125" bestFit="1" customWidth="1"/>
    <col min="8195" max="8195" width="2.42578125" customWidth="1"/>
    <col min="8196" max="8196" width="10" customWidth="1"/>
    <col min="8197" max="8197" width="44.85546875" customWidth="1"/>
    <col min="8198" max="8198" width="5.140625" customWidth="1"/>
    <col min="8199" max="8199" width="13.7109375" bestFit="1" customWidth="1"/>
    <col min="8200" max="8202" width="12.7109375" bestFit="1" customWidth="1"/>
    <col min="8203" max="8203" width="13.7109375" bestFit="1" customWidth="1"/>
    <col min="8204" max="8204" width="5.5703125" bestFit="1" customWidth="1"/>
    <col min="8451" max="8451" width="2.42578125" customWidth="1"/>
    <col min="8452" max="8452" width="10" customWidth="1"/>
    <col min="8453" max="8453" width="44.85546875" customWidth="1"/>
    <col min="8454" max="8454" width="5.140625" customWidth="1"/>
    <col min="8455" max="8455" width="13.7109375" bestFit="1" customWidth="1"/>
    <col min="8456" max="8458" width="12.7109375" bestFit="1" customWidth="1"/>
    <col min="8459" max="8459" width="13.7109375" bestFit="1" customWidth="1"/>
    <col min="8460" max="8460" width="5.5703125" bestFit="1" customWidth="1"/>
    <col min="8707" max="8707" width="2.42578125" customWidth="1"/>
    <col min="8708" max="8708" width="10" customWidth="1"/>
    <col min="8709" max="8709" width="44.85546875" customWidth="1"/>
    <col min="8710" max="8710" width="5.140625" customWidth="1"/>
    <col min="8711" max="8711" width="13.7109375" bestFit="1" customWidth="1"/>
    <col min="8712" max="8714" width="12.7109375" bestFit="1" customWidth="1"/>
    <col min="8715" max="8715" width="13.7109375" bestFit="1" customWidth="1"/>
    <col min="8716" max="8716" width="5.5703125" bestFit="1" customWidth="1"/>
    <col min="8963" max="8963" width="2.42578125" customWidth="1"/>
    <col min="8964" max="8964" width="10" customWidth="1"/>
    <col min="8965" max="8965" width="44.85546875" customWidth="1"/>
    <col min="8966" max="8966" width="5.140625" customWidth="1"/>
    <col min="8967" max="8967" width="13.7109375" bestFit="1" customWidth="1"/>
    <col min="8968" max="8970" width="12.7109375" bestFit="1" customWidth="1"/>
    <col min="8971" max="8971" width="13.7109375" bestFit="1" customWidth="1"/>
    <col min="8972" max="8972" width="5.5703125" bestFit="1" customWidth="1"/>
    <col min="9219" max="9219" width="2.42578125" customWidth="1"/>
    <col min="9220" max="9220" width="10" customWidth="1"/>
    <col min="9221" max="9221" width="44.85546875" customWidth="1"/>
    <col min="9222" max="9222" width="5.140625" customWidth="1"/>
    <col min="9223" max="9223" width="13.7109375" bestFit="1" customWidth="1"/>
    <col min="9224" max="9226" width="12.7109375" bestFit="1" customWidth="1"/>
    <col min="9227" max="9227" width="13.7109375" bestFit="1" customWidth="1"/>
    <col min="9228" max="9228" width="5.5703125" bestFit="1" customWidth="1"/>
    <col min="9475" max="9475" width="2.42578125" customWidth="1"/>
    <col min="9476" max="9476" width="10" customWidth="1"/>
    <col min="9477" max="9477" width="44.85546875" customWidth="1"/>
    <col min="9478" max="9478" width="5.140625" customWidth="1"/>
    <col min="9479" max="9479" width="13.7109375" bestFit="1" customWidth="1"/>
    <col min="9480" max="9482" width="12.7109375" bestFit="1" customWidth="1"/>
    <col min="9483" max="9483" width="13.7109375" bestFit="1" customWidth="1"/>
    <col min="9484" max="9484" width="5.5703125" bestFit="1" customWidth="1"/>
    <col min="9731" max="9731" width="2.42578125" customWidth="1"/>
    <col min="9732" max="9732" width="10" customWidth="1"/>
    <col min="9733" max="9733" width="44.85546875" customWidth="1"/>
    <col min="9734" max="9734" width="5.140625" customWidth="1"/>
    <col min="9735" max="9735" width="13.7109375" bestFit="1" customWidth="1"/>
    <col min="9736" max="9738" width="12.7109375" bestFit="1" customWidth="1"/>
    <col min="9739" max="9739" width="13.7109375" bestFit="1" customWidth="1"/>
    <col min="9740" max="9740" width="5.5703125" bestFit="1" customWidth="1"/>
    <col min="9987" max="9987" width="2.42578125" customWidth="1"/>
    <col min="9988" max="9988" width="10" customWidth="1"/>
    <col min="9989" max="9989" width="44.85546875" customWidth="1"/>
    <col min="9990" max="9990" width="5.140625" customWidth="1"/>
    <col min="9991" max="9991" width="13.7109375" bestFit="1" customWidth="1"/>
    <col min="9992" max="9994" width="12.7109375" bestFit="1" customWidth="1"/>
    <col min="9995" max="9995" width="13.7109375" bestFit="1" customWidth="1"/>
    <col min="9996" max="9996" width="5.5703125" bestFit="1" customWidth="1"/>
    <col min="10243" max="10243" width="2.42578125" customWidth="1"/>
    <col min="10244" max="10244" width="10" customWidth="1"/>
    <col min="10245" max="10245" width="44.85546875" customWidth="1"/>
    <col min="10246" max="10246" width="5.140625" customWidth="1"/>
    <col min="10247" max="10247" width="13.7109375" bestFit="1" customWidth="1"/>
    <col min="10248" max="10250" width="12.7109375" bestFit="1" customWidth="1"/>
    <col min="10251" max="10251" width="13.7109375" bestFit="1" customWidth="1"/>
    <col min="10252" max="10252" width="5.5703125" bestFit="1" customWidth="1"/>
    <col min="10499" max="10499" width="2.42578125" customWidth="1"/>
    <col min="10500" max="10500" width="10" customWidth="1"/>
    <col min="10501" max="10501" width="44.85546875" customWidth="1"/>
    <col min="10502" max="10502" width="5.140625" customWidth="1"/>
    <col min="10503" max="10503" width="13.7109375" bestFit="1" customWidth="1"/>
    <col min="10504" max="10506" width="12.7109375" bestFit="1" customWidth="1"/>
    <col min="10507" max="10507" width="13.7109375" bestFit="1" customWidth="1"/>
    <col min="10508" max="10508" width="5.5703125" bestFit="1" customWidth="1"/>
    <col min="10755" max="10755" width="2.42578125" customWidth="1"/>
    <col min="10756" max="10756" width="10" customWidth="1"/>
    <col min="10757" max="10757" width="44.85546875" customWidth="1"/>
    <col min="10758" max="10758" width="5.140625" customWidth="1"/>
    <col min="10759" max="10759" width="13.7109375" bestFit="1" customWidth="1"/>
    <col min="10760" max="10762" width="12.7109375" bestFit="1" customWidth="1"/>
    <col min="10763" max="10763" width="13.7109375" bestFit="1" customWidth="1"/>
    <col min="10764" max="10764" width="5.5703125" bestFit="1" customWidth="1"/>
    <col min="11011" max="11011" width="2.42578125" customWidth="1"/>
    <col min="11012" max="11012" width="10" customWidth="1"/>
    <col min="11013" max="11013" width="44.85546875" customWidth="1"/>
    <col min="11014" max="11014" width="5.140625" customWidth="1"/>
    <col min="11015" max="11015" width="13.7109375" bestFit="1" customWidth="1"/>
    <col min="11016" max="11018" width="12.7109375" bestFit="1" customWidth="1"/>
    <col min="11019" max="11019" width="13.7109375" bestFit="1" customWidth="1"/>
    <col min="11020" max="11020" width="5.5703125" bestFit="1" customWidth="1"/>
    <col min="11267" max="11267" width="2.42578125" customWidth="1"/>
    <col min="11268" max="11268" width="10" customWidth="1"/>
    <col min="11269" max="11269" width="44.85546875" customWidth="1"/>
    <col min="11270" max="11270" width="5.140625" customWidth="1"/>
    <col min="11271" max="11271" width="13.7109375" bestFit="1" customWidth="1"/>
    <col min="11272" max="11274" width="12.7109375" bestFit="1" customWidth="1"/>
    <col min="11275" max="11275" width="13.7109375" bestFit="1" customWidth="1"/>
    <col min="11276" max="11276" width="5.5703125" bestFit="1" customWidth="1"/>
    <col min="11523" max="11523" width="2.42578125" customWidth="1"/>
    <col min="11524" max="11524" width="10" customWidth="1"/>
    <col min="11525" max="11525" width="44.85546875" customWidth="1"/>
    <col min="11526" max="11526" width="5.140625" customWidth="1"/>
    <col min="11527" max="11527" width="13.7109375" bestFit="1" customWidth="1"/>
    <col min="11528" max="11530" width="12.7109375" bestFit="1" customWidth="1"/>
    <col min="11531" max="11531" width="13.7109375" bestFit="1" customWidth="1"/>
    <col min="11532" max="11532" width="5.5703125" bestFit="1" customWidth="1"/>
    <col min="11779" max="11779" width="2.42578125" customWidth="1"/>
    <col min="11780" max="11780" width="10" customWidth="1"/>
    <col min="11781" max="11781" width="44.85546875" customWidth="1"/>
    <col min="11782" max="11782" width="5.140625" customWidth="1"/>
    <col min="11783" max="11783" width="13.7109375" bestFit="1" customWidth="1"/>
    <col min="11784" max="11786" width="12.7109375" bestFit="1" customWidth="1"/>
    <col min="11787" max="11787" width="13.7109375" bestFit="1" customWidth="1"/>
    <col min="11788" max="11788" width="5.5703125" bestFit="1" customWidth="1"/>
    <col min="12035" max="12035" width="2.42578125" customWidth="1"/>
    <col min="12036" max="12036" width="10" customWidth="1"/>
    <col min="12037" max="12037" width="44.85546875" customWidth="1"/>
    <col min="12038" max="12038" width="5.140625" customWidth="1"/>
    <col min="12039" max="12039" width="13.7109375" bestFit="1" customWidth="1"/>
    <col min="12040" max="12042" width="12.7109375" bestFit="1" customWidth="1"/>
    <col min="12043" max="12043" width="13.7109375" bestFit="1" customWidth="1"/>
    <col min="12044" max="12044" width="5.5703125" bestFit="1" customWidth="1"/>
    <col min="12291" max="12291" width="2.42578125" customWidth="1"/>
    <col min="12292" max="12292" width="10" customWidth="1"/>
    <col min="12293" max="12293" width="44.85546875" customWidth="1"/>
    <col min="12294" max="12294" width="5.140625" customWidth="1"/>
    <col min="12295" max="12295" width="13.7109375" bestFit="1" customWidth="1"/>
    <col min="12296" max="12298" width="12.7109375" bestFit="1" customWidth="1"/>
    <col min="12299" max="12299" width="13.7109375" bestFit="1" customWidth="1"/>
    <col min="12300" max="12300" width="5.5703125" bestFit="1" customWidth="1"/>
    <col min="12547" max="12547" width="2.42578125" customWidth="1"/>
    <col min="12548" max="12548" width="10" customWidth="1"/>
    <col min="12549" max="12549" width="44.85546875" customWidth="1"/>
    <col min="12550" max="12550" width="5.140625" customWidth="1"/>
    <col min="12551" max="12551" width="13.7109375" bestFit="1" customWidth="1"/>
    <col min="12552" max="12554" width="12.7109375" bestFit="1" customWidth="1"/>
    <col min="12555" max="12555" width="13.7109375" bestFit="1" customWidth="1"/>
    <col min="12556" max="12556" width="5.5703125" bestFit="1" customWidth="1"/>
    <col min="12803" max="12803" width="2.42578125" customWidth="1"/>
    <col min="12804" max="12804" width="10" customWidth="1"/>
    <col min="12805" max="12805" width="44.85546875" customWidth="1"/>
    <col min="12806" max="12806" width="5.140625" customWidth="1"/>
    <col min="12807" max="12807" width="13.7109375" bestFit="1" customWidth="1"/>
    <col min="12808" max="12810" width="12.7109375" bestFit="1" customWidth="1"/>
    <col min="12811" max="12811" width="13.7109375" bestFit="1" customWidth="1"/>
    <col min="12812" max="12812" width="5.5703125" bestFit="1" customWidth="1"/>
    <col min="13059" max="13059" width="2.42578125" customWidth="1"/>
    <col min="13060" max="13060" width="10" customWidth="1"/>
    <col min="13061" max="13061" width="44.85546875" customWidth="1"/>
    <col min="13062" max="13062" width="5.140625" customWidth="1"/>
    <col min="13063" max="13063" width="13.7109375" bestFit="1" customWidth="1"/>
    <col min="13064" max="13066" width="12.7109375" bestFit="1" customWidth="1"/>
    <col min="13067" max="13067" width="13.7109375" bestFit="1" customWidth="1"/>
    <col min="13068" max="13068" width="5.5703125" bestFit="1" customWidth="1"/>
    <col min="13315" max="13315" width="2.42578125" customWidth="1"/>
    <col min="13316" max="13316" width="10" customWidth="1"/>
    <col min="13317" max="13317" width="44.85546875" customWidth="1"/>
    <col min="13318" max="13318" width="5.140625" customWidth="1"/>
    <col min="13319" max="13319" width="13.7109375" bestFit="1" customWidth="1"/>
    <col min="13320" max="13322" width="12.7109375" bestFit="1" customWidth="1"/>
    <col min="13323" max="13323" width="13.7109375" bestFit="1" customWidth="1"/>
    <col min="13324" max="13324" width="5.5703125" bestFit="1" customWidth="1"/>
    <col min="13571" max="13571" width="2.42578125" customWidth="1"/>
    <col min="13572" max="13572" width="10" customWidth="1"/>
    <col min="13573" max="13573" width="44.85546875" customWidth="1"/>
    <col min="13574" max="13574" width="5.140625" customWidth="1"/>
    <col min="13575" max="13575" width="13.7109375" bestFit="1" customWidth="1"/>
    <col min="13576" max="13578" width="12.7109375" bestFit="1" customWidth="1"/>
    <col min="13579" max="13579" width="13.7109375" bestFit="1" customWidth="1"/>
    <col min="13580" max="13580" width="5.5703125" bestFit="1" customWidth="1"/>
    <col min="13827" max="13827" width="2.42578125" customWidth="1"/>
    <col min="13828" max="13828" width="10" customWidth="1"/>
    <col min="13829" max="13829" width="44.85546875" customWidth="1"/>
    <col min="13830" max="13830" width="5.140625" customWidth="1"/>
    <col min="13831" max="13831" width="13.7109375" bestFit="1" customWidth="1"/>
    <col min="13832" max="13834" width="12.7109375" bestFit="1" customWidth="1"/>
    <col min="13835" max="13835" width="13.7109375" bestFit="1" customWidth="1"/>
    <col min="13836" max="13836" width="5.5703125" bestFit="1" customWidth="1"/>
    <col min="14083" max="14083" width="2.42578125" customWidth="1"/>
    <col min="14084" max="14084" width="10" customWidth="1"/>
    <col min="14085" max="14085" width="44.85546875" customWidth="1"/>
    <col min="14086" max="14086" width="5.140625" customWidth="1"/>
    <col min="14087" max="14087" width="13.7109375" bestFit="1" customWidth="1"/>
    <col min="14088" max="14090" width="12.7109375" bestFit="1" customWidth="1"/>
    <col min="14091" max="14091" width="13.7109375" bestFit="1" customWidth="1"/>
    <col min="14092" max="14092" width="5.5703125" bestFit="1" customWidth="1"/>
    <col min="14339" max="14339" width="2.42578125" customWidth="1"/>
    <col min="14340" max="14340" width="10" customWidth="1"/>
    <col min="14341" max="14341" width="44.85546875" customWidth="1"/>
    <col min="14342" max="14342" width="5.140625" customWidth="1"/>
    <col min="14343" max="14343" width="13.7109375" bestFit="1" customWidth="1"/>
    <col min="14344" max="14346" width="12.7109375" bestFit="1" customWidth="1"/>
    <col min="14347" max="14347" width="13.7109375" bestFit="1" customWidth="1"/>
    <col min="14348" max="14348" width="5.5703125" bestFit="1" customWidth="1"/>
    <col min="14595" max="14595" width="2.42578125" customWidth="1"/>
    <col min="14596" max="14596" width="10" customWidth="1"/>
    <col min="14597" max="14597" width="44.85546875" customWidth="1"/>
    <col min="14598" max="14598" width="5.140625" customWidth="1"/>
    <col min="14599" max="14599" width="13.7109375" bestFit="1" customWidth="1"/>
    <col min="14600" max="14602" width="12.7109375" bestFit="1" customWidth="1"/>
    <col min="14603" max="14603" width="13.7109375" bestFit="1" customWidth="1"/>
    <col min="14604" max="14604" width="5.5703125" bestFit="1" customWidth="1"/>
    <col min="14851" max="14851" width="2.42578125" customWidth="1"/>
    <col min="14852" max="14852" width="10" customWidth="1"/>
    <col min="14853" max="14853" width="44.85546875" customWidth="1"/>
    <col min="14854" max="14854" width="5.140625" customWidth="1"/>
    <col min="14855" max="14855" width="13.7109375" bestFit="1" customWidth="1"/>
    <col min="14856" max="14858" width="12.7109375" bestFit="1" customWidth="1"/>
    <col min="14859" max="14859" width="13.7109375" bestFit="1" customWidth="1"/>
    <col min="14860" max="14860" width="5.5703125" bestFit="1" customWidth="1"/>
    <col min="15107" max="15107" width="2.42578125" customWidth="1"/>
    <col min="15108" max="15108" width="10" customWidth="1"/>
    <col min="15109" max="15109" width="44.85546875" customWidth="1"/>
    <col min="15110" max="15110" width="5.140625" customWidth="1"/>
    <col min="15111" max="15111" width="13.7109375" bestFit="1" customWidth="1"/>
    <col min="15112" max="15114" width="12.7109375" bestFit="1" customWidth="1"/>
    <col min="15115" max="15115" width="13.7109375" bestFit="1" customWidth="1"/>
    <col min="15116" max="15116" width="5.5703125" bestFit="1" customWidth="1"/>
    <col min="15363" max="15363" width="2.42578125" customWidth="1"/>
    <col min="15364" max="15364" width="10" customWidth="1"/>
    <col min="15365" max="15365" width="44.85546875" customWidth="1"/>
    <col min="15366" max="15366" width="5.140625" customWidth="1"/>
    <col min="15367" max="15367" width="13.7109375" bestFit="1" customWidth="1"/>
    <col min="15368" max="15370" width="12.7109375" bestFit="1" customWidth="1"/>
    <col min="15371" max="15371" width="13.7109375" bestFit="1" customWidth="1"/>
    <col min="15372" max="15372" width="5.5703125" bestFit="1" customWidth="1"/>
    <col min="15619" max="15619" width="2.42578125" customWidth="1"/>
    <col min="15620" max="15620" width="10" customWidth="1"/>
    <col min="15621" max="15621" width="44.85546875" customWidth="1"/>
    <col min="15622" max="15622" width="5.140625" customWidth="1"/>
    <col min="15623" max="15623" width="13.7109375" bestFit="1" customWidth="1"/>
    <col min="15624" max="15626" width="12.7109375" bestFit="1" customWidth="1"/>
    <col min="15627" max="15627" width="13.7109375" bestFit="1" customWidth="1"/>
    <col min="15628" max="15628" width="5.5703125" bestFit="1" customWidth="1"/>
    <col min="15875" max="15875" width="2.42578125" customWidth="1"/>
    <col min="15876" max="15876" width="10" customWidth="1"/>
    <col min="15877" max="15877" width="44.85546875" customWidth="1"/>
    <col min="15878" max="15878" width="5.140625" customWidth="1"/>
    <col min="15879" max="15879" width="13.7109375" bestFit="1" customWidth="1"/>
    <col min="15880" max="15882" width="12.7109375" bestFit="1" customWidth="1"/>
    <col min="15883" max="15883" width="13.7109375" bestFit="1" customWidth="1"/>
    <col min="15884" max="15884" width="5.5703125" bestFit="1" customWidth="1"/>
    <col min="16131" max="16131" width="2.42578125" customWidth="1"/>
    <col min="16132" max="16132" width="10" customWidth="1"/>
    <col min="16133" max="16133" width="44.85546875" customWidth="1"/>
    <col min="16134" max="16134" width="5.140625" customWidth="1"/>
    <col min="16135" max="16135" width="13.7109375" bestFit="1" customWidth="1"/>
    <col min="16136" max="16138" width="12.7109375" bestFit="1" customWidth="1"/>
    <col min="16139" max="16139" width="13.7109375" bestFit="1" customWidth="1"/>
    <col min="16140" max="16140" width="5.5703125" bestFit="1" customWidth="1"/>
  </cols>
  <sheetData>
    <row r="2" spans="2:12">
      <c r="B2" s="67" t="s">
        <v>124</v>
      </c>
    </row>
    <row r="3" spans="2:12" s="19" customFormat="1">
      <c r="B3" s="68" t="s">
        <v>125</v>
      </c>
      <c r="C3" s="393" t="s">
        <v>126</v>
      </c>
      <c r="D3" s="2"/>
      <c r="E3" s="2"/>
      <c r="F3" s="2"/>
      <c r="G3" s="2"/>
      <c r="H3" s="2"/>
      <c r="I3" s="2"/>
      <c r="J3" s="2"/>
      <c r="K3" s="2"/>
    </row>
    <row r="4" spans="2:12">
      <c r="B4" s="69" t="s">
        <v>127</v>
      </c>
      <c r="C4" s="79" t="s">
        <v>127</v>
      </c>
    </row>
    <row r="5" spans="2:12">
      <c r="B5" s="70">
        <v>0.19989999999999999</v>
      </c>
      <c r="C5" s="75">
        <v>0.11840000000000001</v>
      </c>
    </row>
    <row r="6" spans="2:12">
      <c r="B6" s="69" t="s">
        <v>128</v>
      </c>
      <c r="C6" s="221" t="s">
        <v>129</v>
      </c>
    </row>
    <row r="7" spans="2:12">
      <c r="B7" s="70">
        <v>0.33</v>
      </c>
    </row>
    <row r="9" spans="2:12">
      <c r="B9" s="24"/>
      <c r="C9" s="394"/>
      <c r="D9" s="394"/>
      <c r="E9" s="519" t="s">
        <v>13</v>
      </c>
      <c r="F9" s="520">
        <v>2021</v>
      </c>
      <c r="G9" s="520">
        <v>2022</v>
      </c>
      <c r="H9" s="520">
        <v>2023</v>
      </c>
      <c r="I9" s="520">
        <v>2024</v>
      </c>
      <c r="J9" s="520">
        <v>2025</v>
      </c>
      <c r="K9" s="535"/>
    </row>
    <row r="10" spans="2:12" s="1" customFormat="1" ht="11.25">
      <c r="E10" s="72" t="s">
        <v>130</v>
      </c>
      <c r="F10" s="73">
        <v>0.33</v>
      </c>
      <c r="G10" s="74">
        <v>0.5</v>
      </c>
      <c r="H10" s="75">
        <v>0.58499999999999996</v>
      </c>
      <c r="I10" s="75">
        <v>0.5675</v>
      </c>
      <c r="J10" s="74">
        <v>0.4</v>
      </c>
      <c r="K10" s="74"/>
    </row>
    <row r="11" spans="2:12" s="3" customFormat="1" ht="11.25">
      <c r="C11" s="1"/>
      <c r="D11" s="1"/>
      <c r="E11" s="93"/>
      <c r="F11" s="1"/>
      <c r="G11" s="1"/>
      <c r="H11" s="1"/>
      <c r="I11" s="1"/>
      <c r="J11" s="1"/>
      <c r="K11" s="1"/>
    </row>
    <row r="12" spans="2:12" s="3" customFormat="1" ht="11.25">
      <c r="C12" s="1"/>
      <c r="D12" s="1"/>
      <c r="E12" s="93"/>
      <c r="F12" s="1"/>
      <c r="G12" s="1"/>
      <c r="H12" s="1"/>
      <c r="I12" s="1"/>
      <c r="J12" s="1"/>
      <c r="K12" s="1"/>
    </row>
    <row r="13" spans="2:12" s="3" customFormat="1" ht="11.25">
      <c r="C13" s="1"/>
      <c r="D13" s="1"/>
      <c r="E13" s="93"/>
      <c r="F13" s="1"/>
      <c r="G13" s="1"/>
      <c r="H13" s="1"/>
      <c r="I13" s="1"/>
      <c r="J13" s="1"/>
      <c r="K13" s="1"/>
    </row>
    <row r="14" spans="2:12">
      <c r="B14" s="24"/>
      <c r="C14" s="396" t="s">
        <v>549</v>
      </c>
      <c r="D14" s="521"/>
      <c r="E14" s="522" t="s">
        <v>131</v>
      </c>
      <c r="F14" s="522" t="s">
        <v>132</v>
      </c>
      <c r="G14" s="522" t="s">
        <v>133</v>
      </c>
      <c r="H14" s="522" t="s">
        <v>134</v>
      </c>
      <c r="I14" s="522" t="s">
        <v>315</v>
      </c>
      <c r="J14" s="522" t="s">
        <v>316</v>
      </c>
      <c r="K14" s="523" t="s">
        <v>12</v>
      </c>
    </row>
    <row r="15" spans="2:12">
      <c r="B15" s="60" t="s">
        <v>135</v>
      </c>
      <c r="C15" s="1" t="s">
        <v>136</v>
      </c>
      <c r="D15" s="79">
        <v>311</v>
      </c>
      <c r="E15" s="93">
        <v>646851.22</v>
      </c>
      <c r="F15" s="93">
        <v>1584309.78</v>
      </c>
      <c r="G15" s="93">
        <v>1110585.6299999999</v>
      </c>
      <c r="H15" s="93">
        <v>1101862.0900000001</v>
      </c>
      <c r="I15" s="93">
        <f>1041204.38</f>
        <v>1041204.38</v>
      </c>
      <c r="J15" s="93">
        <v>1041463.47</v>
      </c>
      <c r="K15" s="524">
        <f>SUM(E15:J15)</f>
        <v>6526276.5699999994</v>
      </c>
      <c r="L15" s="71">
        <f>6526276.57-K15</f>
        <v>0</v>
      </c>
    </row>
    <row r="16" spans="2:12">
      <c r="B16" s="60" t="s">
        <v>137</v>
      </c>
      <c r="C16" s="1" t="s">
        <v>138</v>
      </c>
      <c r="D16" s="79">
        <v>320</v>
      </c>
      <c r="E16" s="93">
        <v>40013.54</v>
      </c>
      <c r="F16" s="93">
        <v>25467.31</v>
      </c>
      <c r="G16" s="93">
        <f>43738.35</f>
        <v>43738.35</v>
      </c>
      <c r="H16" s="93">
        <v>147124.29</v>
      </c>
      <c r="I16" s="93">
        <f>167667.79</f>
        <v>167667.79</v>
      </c>
      <c r="J16" s="93">
        <v>197063.87</v>
      </c>
      <c r="K16" s="524">
        <f>SUM(E16:J16)</f>
        <v>621075.15</v>
      </c>
      <c r="L16" s="71">
        <f>621075.15-K16</f>
        <v>0</v>
      </c>
    </row>
    <row r="17" spans="2:12" s="1" customFormat="1" ht="11.25">
      <c r="D17" s="79"/>
      <c r="E17" s="93"/>
      <c r="F17" s="93"/>
      <c r="G17" s="93"/>
      <c r="H17" s="93"/>
      <c r="I17" s="93"/>
      <c r="J17" s="93"/>
      <c r="K17" s="525"/>
    </row>
    <row r="18" spans="2:12">
      <c r="C18" s="1" t="s">
        <v>139</v>
      </c>
      <c r="D18" s="79"/>
      <c r="E18" s="93">
        <v>1821306.69</v>
      </c>
      <c r="F18" s="93">
        <v>3418373.35</v>
      </c>
      <c r="G18" s="93">
        <v>2477691.9500000002</v>
      </c>
      <c r="H18" s="93">
        <v>2713144.41</v>
      </c>
      <c r="I18" s="93">
        <f>2527081.2</f>
        <v>2527081.2000000002</v>
      </c>
      <c r="J18" s="93">
        <v>2358458.2000000002</v>
      </c>
      <c r="K18" s="525">
        <f>SUM(E18:J18)</f>
        <v>15316055.800000001</v>
      </c>
      <c r="L18" s="76">
        <f>15316055.8-K18</f>
        <v>0</v>
      </c>
    </row>
    <row r="19" spans="2:12">
      <c r="B19" s="24"/>
      <c r="C19" s="394" t="s">
        <v>140</v>
      </c>
      <c r="D19" s="536"/>
      <c r="E19" s="526">
        <v>1774960.27</v>
      </c>
      <c r="F19" s="527">
        <v>1892028.52</v>
      </c>
      <c r="G19" s="527">
        <v>1916270.79</v>
      </c>
      <c r="H19" s="527">
        <v>1847527.88</v>
      </c>
      <c r="I19" s="527">
        <v>1862823.19</v>
      </c>
      <c r="J19" s="527"/>
      <c r="K19" s="88">
        <f>SUM(E19:I19)</f>
        <v>9293610.6500000004</v>
      </c>
      <c r="L19" s="76">
        <f>9293610.65-K19</f>
        <v>0</v>
      </c>
    </row>
    <row r="20" spans="2:12">
      <c r="C20" s="1" t="s">
        <v>141</v>
      </c>
      <c r="D20" s="79" t="s">
        <v>142</v>
      </c>
      <c r="E20" s="528">
        <f t="shared" ref="E20:J20" si="0">E18-E19</f>
        <v>46346.419999999925</v>
      </c>
      <c r="F20" s="528">
        <f t="shared" si="0"/>
        <v>1526344.83</v>
      </c>
      <c r="G20" s="528">
        <f t="shared" si="0"/>
        <v>561421.16000000015</v>
      </c>
      <c r="H20" s="528">
        <f t="shared" si="0"/>
        <v>865616.53000000026</v>
      </c>
      <c r="I20" s="528">
        <f t="shared" si="0"/>
        <v>664258.01000000024</v>
      </c>
      <c r="J20" s="528">
        <f t="shared" si="0"/>
        <v>2358458.2000000002</v>
      </c>
      <c r="K20" s="524">
        <f>SUM(E20:I20)</f>
        <v>3663986.9500000007</v>
      </c>
    </row>
    <row r="21" spans="2:12">
      <c r="D21" s="79"/>
      <c r="E21" s="93"/>
      <c r="K21" s="8"/>
    </row>
    <row r="22" spans="2:12">
      <c r="B22" s="24"/>
      <c r="C22" s="395" t="s">
        <v>143</v>
      </c>
      <c r="D22" s="536" t="s">
        <v>144</v>
      </c>
      <c r="E22" s="526">
        <f t="shared" ref="E22:J22" si="1">SUM(E15:E16)-E20</f>
        <v>640518.34000000008</v>
      </c>
      <c r="F22" s="526">
        <f t="shared" si="1"/>
        <v>83432.260000000009</v>
      </c>
      <c r="G22" s="526">
        <f t="shared" si="1"/>
        <v>592902.81999999983</v>
      </c>
      <c r="H22" s="526">
        <f t="shared" si="1"/>
        <v>383369.84999999986</v>
      </c>
      <c r="I22" s="526">
        <f t="shared" si="1"/>
        <v>544614.15999999968</v>
      </c>
      <c r="J22" s="526">
        <f t="shared" si="1"/>
        <v>-1119930.8600000003</v>
      </c>
      <c r="K22" s="529">
        <f>SUM(E22:I22)</f>
        <v>2244837.4299999997</v>
      </c>
    </row>
    <row r="23" spans="2:12">
      <c r="C23" s="1" t="s">
        <v>550</v>
      </c>
      <c r="E23" s="93"/>
      <c r="F23" s="530">
        <f>E22+F22</f>
        <v>723950.60000000009</v>
      </c>
      <c r="G23" s="530">
        <f>F23+G22</f>
        <v>1316853.42</v>
      </c>
      <c r="H23" s="530">
        <f>G23+H22</f>
        <v>1700223.2699999998</v>
      </c>
      <c r="I23" s="530">
        <f>H23+I22</f>
        <v>2244837.4299999997</v>
      </c>
      <c r="J23" s="530">
        <f>I23+J22</f>
        <v>1124906.5699999994</v>
      </c>
      <c r="K23" s="8"/>
    </row>
    <row r="24" spans="2:12" s="1" customFormat="1" ht="11.25">
      <c r="E24" s="93"/>
      <c r="K24" s="8"/>
    </row>
    <row r="25" spans="2:12">
      <c r="C25" s="1" t="s">
        <v>145</v>
      </c>
      <c r="D25" s="531"/>
      <c r="E25" s="93">
        <f>21390.5-13008.99</f>
        <v>8381.51</v>
      </c>
      <c r="F25" s="431">
        <v>7644.48</v>
      </c>
      <c r="G25" s="431">
        <f>70335.98-81867.41</f>
        <v>-11531.430000000008</v>
      </c>
      <c r="H25" s="431">
        <v>236970.22</v>
      </c>
      <c r="I25" s="431">
        <f>196118.17-25818.29</f>
        <v>170299.88</v>
      </c>
      <c r="J25" s="431">
        <f>48213.11-50509.62</f>
        <v>-2296.510000000002</v>
      </c>
      <c r="K25" s="525">
        <f>SUM(E25:J25)</f>
        <v>409468.15</v>
      </c>
      <c r="L25" s="76"/>
    </row>
    <row r="26" spans="2:12" s="1" customFormat="1" ht="11.25">
      <c r="E26" s="93"/>
      <c r="K26" s="8"/>
    </row>
    <row r="27" spans="2:12" s="1" customFormat="1" ht="11.25">
      <c r="E27" s="93"/>
      <c r="K27" s="8"/>
    </row>
    <row r="28" spans="2:12">
      <c r="B28" s="24"/>
      <c r="C28" s="395" t="s">
        <v>146</v>
      </c>
      <c r="D28" s="394"/>
      <c r="E28" s="526">
        <v>33033586.629999999</v>
      </c>
      <c r="F28" s="527">
        <v>32875956.559999999</v>
      </c>
      <c r="G28" s="527">
        <v>34457888.159999996</v>
      </c>
      <c r="H28" s="527">
        <v>35776936.130000003</v>
      </c>
      <c r="I28" s="527">
        <v>35898682.270000003</v>
      </c>
      <c r="J28" s="527">
        <f>35480656.82</f>
        <v>35480656.82</v>
      </c>
      <c r="K28" s="82" t="s">
        <v>12</v>
      </c>
    </row>
    <row r="29" spans="2:12">
      <c r="E29" s="93"/>
      <c r="F29" s="530">
        <f>F28-E28</f>
        <v>-157630.0700000003</v>
      </c>
      <c r="G29" s="530">
        <f>G28-F28</f>
        <v>1581931.5999999978</v>
      </c>
      <c r="H29" s="530">
        <f>H28-G28</f>
        <v>1319047.9700000063</v>
      </c>
      <c r="I29" s="530">
        <f>I28-H28</f>
        <v>121746.1400000006</v>
      </c>
      <c r="J29" s="530">
        <f>J28-I28</f>
        <v>-418025.45000000298</v>
      </c>
      <c r="K29" s="532">
        <f>SUM(F29:J29)</f>
        <v>2447070.1900000013</v>
      </c>
      <c r="L29" s="76">
        <f>J28-E28-K29</f>
        <v>0</v>
      </c>
    </row>
    <row r="30" spans="2:12" s="1" customFormat="1" ht="11.25">
      <c r="E30" s="93"/>
      <c r="K30" s="8"/>
    </row>
    <row r="31" spans="2:12">
      <c r="B31" s="24"/>
      <c r="C31" s="394"/>
      <c r="D31" s="395" t="s">
        <v>147</v>
      </c>
      <c r="E31" s="533">
        <f t="shared" ref="E31:J31" si="2">E25/E28</f>
        <v>2.5372691418219155E-4</v>
      </c>
      <c r="F31" s="533">
        <f t="shared" si="2"/>
        <v>2.3252494527569115E-4</v>
      </c>
      <c r="G31" s="533">
        <f t="shared" si="2"/>
        <v>-3.3465283613596847E-4</v>
      </c>
      <c r="H31" s="533">
        <f t="shared" si="2"/>
        <v>6.6235470566551272E-3</v>
      </c>
      <c r="I31" s="533">
        <f t="shared" si="2"/>
        <v>4.7439033755931788E-3</v>
      </c>
      <c r="J31" s="533">
        <f t="shared" si="2"/>
        <v>-6.4725690159870105E-5</v>
      </c>
      <c r="K31" s="534">
        <f>SUM(E31:J31)</f>
        <v>1.145432376541035E-2</v>
      </c>
    </row>
    <row r="32" spans="2:12">
      <c r="E32" s="93"/>
    </row>
    <row r="33" spans="5:5">
      <c r="E33" s="93"/>
    </row>
    <row r="34" spans="5:5">
      <c r="E34" s="93"/>
    </row>
    <row r="35" spans="5:5">
      <c r="E35" s="93"/>
    </row>
    <row r="36" spans="5:5">
      <c r="E36" s="93"/>
    </row>
    <row r="37" spans="5:5">
      <c r="E37" s="93"/>
    </row>
    <row r="38" spans="5:5">
      <c r="E38" s="93"/>
    </row>
    <row r="39" spans="5:5">
      <c r="E39" s="93"/>
    </row>
    <row r="40" spans="5:5">
      <c r="E40" s="93"/>
    </row>
    <row r="41" spans="5:5">
      <c r="E41" s="93"/>
    </row>
    <row r="42" spans="5:5">
      <c r="E42" s="93"/>
    </row>
    <row r="43" spans="5:5">
      <c r="E43" s="93"/>
    </row>
    <row r="44" spans="5:5">
      <c r="E44" s="93"/>
    </row>
    <row r="45" spans="5:5">
      <c r="E45" s="93"/>
    </row>
    <row r="46" spans="5:5">
      <c r="E46" s="93"/>
    </row>
    <row r="47" spans="5:5">
      <c r="E47" s="93"/>
    </row>
    <row r="48" spans="5:5">
      <c r="E48" s="93"/>
    </row>
    <row r="49" spans="5:5">
      <c r="E49" s="93"/>
    </row>
    <row r="50" spans="5:5">
      <c r="E50" s="93"/>
    </row>
    <row r="51" spans="5:5">
      <c r="E51" s="93"/>
    </row>
    <row r="52" spans="5:5">
      <c r="E52" s="93"/>
    </row>
    <row r="53" spans="5:5">
      <c r="E53" s="93"/>
    </row>
    <row r="54" spans="5:5">
      <c r="E54" s="93"/>
    </row>
    <row r="55" spans="5:5">
      <c r="E55" s="93"/>
    </row>
    <row r="56" spans="5:5">
      <c r="E56" s="93"/>
    </row>
    <row r="57" spans="5:5">
      <c r="E57" s="93"/>
    </row>
    <row r="58" spans="5:5">
      <c r="E58" s="93"/>
    </row>
    <row r="59" spans="5:5">
      <c r="E59" s="93"/>
    </row>
    <row r="60" spans="5:5">
      <c r="E60" s="93"/>
    </row>
    <row r="61" spans="5:5">
      <c r="E61" s="93"/>
    </row>
    <row r="62" spans="5:5">
      <c r="E62" s="93"/>
    </row>
    <row r="63" spans="5:5">
      <c r="E63" s="93"/>
    </row>
    <row r="64" spans="5:5">
      <c r="E64" s="93"/>
    </row>
    <row r="65" spans="5:5">
      <c r="E65" s="93"/>
    </row>
    <row r="66" spans="5:5">
      <c r="E66" s="93"/>
    </row>
    <row r="67" spans="5:5">
      <c r="E67" s="93"/>
    </row>
    <row r="68" spans="5:5">
      <c r="E68" s="93"/>
    </row>
    <row r="69" spans="5:5">
      <c r="E69" s="93"/>
    </row>
    <row r="70" spans="5:5">
      <c r="E70" s="93"/>
    </row>
    <row r="71" spans="5:5">
      <c r="E71" s="93"/>
    </row>
    <row r="72" spans="5:5">
      <c r="E72" s="93"/>
    </row>
    <row r="73" spans="5:5">
      <c r="E73" s="93"/>
    </row>
    <row r="74" spans="5:5">
      <c r="E74" s="93"/>
    </row>
    <row r="75" spans="5:5">
      <c r="E75" s="93"/>
    </row>
    <row r="76" spans="5:5">
      <c r="E76" s="93"/>
    </row>
    <row r="77" spans="5:5">
      <c r="E77" s="93"/>
    </row>
    <row r="78" spans="5:5">
      <c r="E78" s="93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B1:M27"/>
  <sheetViews>
    <sheetView topLeftCell="B1" workbookViewId="0">
      <selection activeCell="J25" sqref="J25"/>
    </sheetView>
  </sheetViews>
  <sheetFormatPr defaultRowHeight="15"/>
  <cols>
    <col min="2" max="2" width="4.140625" bestFit="1" customWidth="1"/>
    <col min="3" max="3" width="8.42578125" bestFit="1" customWidth="1"/>
    <col min="4" max="4" width="12" bestFit="1" customWidth="1"/>
    <col min="5" max="5" width="13.7109375" style="71" bestFit="1" customWidth="1"/>
    <col min="6" max="6" width="13.7109375" bestFit="1" customWidth="1"/>
    <col min="7" max="7" width="12.5703125" bestFit="1" customWidth="1"/>
    <col min="8" max="8" width="13.28515625" bestFit="1" customWidth="1"/>
    <col min="9" max="9" width="13.85546875" bestFit="1" customWidth="1"/>
    <col min="10" max="10" width="12.85546875" bestFit="1" customWidth="1"/>
    <col min="11" max="11" width="13.28515625" bestFit="1" customWidth="1"/>
    <col min="12" max="12" width="12.28515625" bestFit="1" customWidth="1"/>
    <col min="13" max="14" width="12.85546875" bestFit="1" customWidth="1"/>
    <col min="258" max="258" width="4.140625" bestFit="1" customWidth="1"/>
    <col min="259" max="259" width="8.42578125" bestFit="1" customWidth="1"/>
    <col min="260" max="260" width="11.7109375" bestFit="1" customWidth="1"/>
    <col min="261" max="262" width="13.7109375" bestFit="1" customWidth="1"/>
    <col min="263" max="263" width="12.5703125" bestFit="1" customWidth="1"/>
    <col min="264" max="264" width="12.85546875" bestFit="1" customWidth="1"/>
    <col min="265" max="265" width="13.85546875" bestFit="1" customWidth="1"/>
    <col min="266" max="267" width="12.85546875" bestFit="1" customWidth="1"/>
    <col min="268" max="268" width="4.7109375" bestFit="1" customWidth="1"/>
    <col min="269" max="270" width="12.85546875" bestFit="1" customWidth="1"/>
    <col min="514" max="514" width="4.140625" bestFit="1" customWidth="1"/>
    <col min="515" max="515" width="8.42578125" bestFit="1" customWidth="1"/>
    <col min="516" max="516" width="11.7109375" bestFit="1" customWidth="1"/>
    <col min="517" max="518" width="13.7109375" bestFit="1" customWidth="1"/>
    <col min="519" max="519" width="12.5703125" bestFit="1" customWidth="1"/>
    <col min="520" max="520" width="12.85546875" bestFit="1" customWidth="1"/>
    <col min="521" max="521" width="13.85546875" bestFit="1" customWidth="1"/>
    <col min="522" max="523" width="12.85546875" bestFit="1" customWidth="1"/>
    <col min="524" max="524" width="4.7109375" bestFit="1" customWidth="1"/>
    <col min="525" max="526" width="12.85546875" bestFit="1" customWidth="1"/>
    <col min="770" max="770" width="4.140625" bestFit="1" customWidth="1"/>
    <col min="771" max="771" width="8.42578125" bestFit="1" customWidth="1"/>
    <col min="772" max="772" width="11.7109375" bestFit="1" customWidth="1"/>
    <col min="773" max="774" width="13.7109375" bestFit="1" customWidth="1"/>
    <col min="775" max="775" width="12.5703125" bestFit="1" customWidth="1"/>
    <col min="776" max="776" width="12.85546875" bestFit="1" customWidth="1"/>
    <col min="777" max="777" width="13.85546875" bestFit="1" customWidth="1"/>
    <col min="778" max="779" width="12.85546875" bestFit="1" customWidth="1"/>
    <col min="780" max="780" width="4.7109375" bestFit="1" customWidth="1"/>
    <col min="781" max="782" width="12.85546875" bestFit="1" customWidth="1"/>
    <col min="1026" max="1026" width="4.140625" bestFit="1" customWidth="1"/>
    <col min="1027" max="1027" width="8.42578125" bestFit="1" customWidth="1"/>
    <col min="1028" max="1028" width="11.7109375" bestFit="1" customWidth="1"/>
    <col min="1029" max="1030" width="13.7109375" bestFit="1" customWidth="1"/>
    <col min="1031" max="1031" width="12.5703125" bestFit="1" customWidth="1"/>
    <col min="1032" max="1032" width="12.85546875" bestFit="1" customWidth="1"/>
    <col min="1033" max="1033" width="13.85546875" bestFit="1" customWidth="1"/>
    <col min="1034" max="1035" width="12.85546875" bestFit="1" customWidth="1"/>
    <col min="1036" max="1036" width="4.7109375" bestFit="1" customWidth="1"/>
    <col min="1037" max="1038" width="12.85546875" bestFit="1" customWidth="1"/>
    <col min="1282" max="1282" width="4.140625" bestFit="1" customWidth="1"/>
    <col min="1283" max="1283" width="8.42578125" bestFit="1" customWidth="1"/>
    <col min="1284" max="1284" width="11.7109375" bestFit="1" customWidth="1"/>
    <col min="1285" max="1286" width="13.7109375" bestFit="1" customWidth="1"/>
    <col min="1287" max="1287" width="12.5703125" bestFit="1" customWidth="1"/>
    <col min="1288" max="1288" width="12.85546875" bestFit="1" customWidth="1"/>
    <col min="1289" max="1289" width="13.85546875" bestFit="1" customWidth="1"/>
    <col min="1290" max="1291" width="12.85546875" bestFit="1" customWidth="1"/>
    <col min="1292" max="1292" width="4.7109375" bestFit="1" customWidth="1"/>
    <col min="1293" max="1294" width="12.85546875" bestFit="1" customWidth="1"/>
    <col min="1538" max="1538" width="4.140625" bestFit="1" customWidth="1"/>
    <col min="1539" max="1539" width="8.42578125" bestFit="1" customWidth="1"/>
    <col min="1540" max="1540" width="11.7109375" bestFit="1" customWidth="1"/>
    <col min="1541" max="1542" width="13.7109375" bestFit="1" customWidth="1"/>
    <col min="1543" max="1543" width="12.5703125" bestFit="1" customWidth="1"/>
    <col min="1544" max="1544" width="12.85546875" bestFit="1" customWidth="1"/>
    <col min="1545" max="1545" width="13.85546875" bestFit="1" customWidth="1"/>
    <col min="1546" max="1547" width="12.85546875" bestFit="1" customWidth="1"/>
    <col min="1548" max="1548" width="4.7109375" bestFit="1" customWidth="1"/>
    <col min="1549" max="1550" width="12.85546875" bestFit="1" customWidth="1"/>
    <col min="1794" max="1794" width="4.140625" bestFit="1" customWidth="1"/>
    <col min="1795" max="1795" width="8.42578125" bestFit="1" customWidth="1"/>
    <col min="1796" max="1796" width="11.7109375" bestFit="1" customWidth="1"/>
    <col min="1797" max="1798" width="13.7109375" bestFit="1" customWidth="1"/>
    <col min="1799" max="1799" width="12.5703125" bestFit="1" customWidth="1"/>
    <col min="1800" max="1800" width="12.85546875" bestFit="1" customWidth="1"/>
    <col min="1801" max="1801" width="13.85546875" bestFit="1" customWidth="1"/>
    <col min="1802" max="1803" width="12.85546875" bestFit="1" customWidth="1"/>
    <col min="1804" max="1804" width="4.7109375" bestFit="1" customWidth="1"/>
    <col min="1805" max="1806" width="12.85546875" bestFit="1" customWidth="1"/>
    <col min="2050" max="2050" width="4.140625" bestFit="1" customWidth="1"/>
    <col min="2051" max="2051" width="8.42578125" bestFit="1" customWidth="1"/>
    <col min="2052" max="2052" width="11.7109375" bestFit="1" customWidth="1"/>
    <col min="2053" max="2054" width="13.7109375" bestFit="1" customWidth="1"/>
    <col min="2055" max="2055" width="12.5703125" bestFit="1" customWidth="1"/>
    <col min="2056" max="2056" width="12.85546875" bestFit="1" customWidth="1"/>
    <col min="2057" max="2057" width="13.85546875" bestFit="1" customWidth="1"/>
    <col min="2058" max="2059" width="12.85546875" bestFit="1" customWidth="1"/>
    <col min="2060" max="2060" width="4.7109375" bestFit="1" customWidth="1"/>
    <col min="2061" max="2062" width="12.85546875" bestFit="1" customWidth="1"/>
    <col min="2306" max="2306" width="4.140625" bestFit="1" customWidth="1"/>
    <col min="2307" max="2307" width="8.42578125" bestFit="1" customWidth="1"/>
    <col min="2308" max="2308" width="11.7109375" bestFit="1" customWidth="1"/>
    <col min="2309" max="2310" width="13.7109375" bestFit="1" customWidth="1"/>
    <col min="2311" max="2311" width="12.5703125" bestFit="1" customWidth="1"/>
    <col min="2312" max="2312" width="12.85546875" bestFit="1" customWidth="1"/>
    <col min="2313" max="2313" width="13.85546875" bestFit="1" customWidth="1"/>
    <col min="2314" max="2315" width="12.85546875" bestFit="1" customWidth="1"/>
    <col min="2316" max="2316" width="4.7109375" bestFit="1" customWidth="1"/>
    <col min="2317" max="2318" width="12.85546875" bestFit="1" customWidth="1"/>
    <col min="2562" max="2562" width="4.140625" bestFit="1" customWidth="1"/>
    <col min="2563" max="2563" width="8.42578125" bestFit="1" customWidth="1"/>
    <col min="2564" max="2564" width="11.7109375" bestFit="1" customWidth="1"/>
    <col min="2565" max="2566" width="13.7109375" bestFit="1" customWidth="1"/>
    <col min="2567" max="2567" width="12.5703125" bestFit="1" customWidth="1"/>
    <col min="2568" max="2568" width="12.85546875" bestFit="1" customWidth="1"/>
    <col min="2569" max="2569" width="13.85546875" bestFit="1" customWidth="1"/>
    <col min="2570" max="2571" width="12.85546875" bestFit="1" customWidth="1"/>
    <col min="2572" max="2572" width="4.7109375" bestFit="1" customWidth="1"/>
    <col min="2573" max="2574" width="12.85546875" bestFit="1" customWidth="1"/>
    <col min="2818" max="2818" width="4.140625" bestFit="1" customWidth="1"/>
    <col min="2819" max="2819" width="8.42578125" bestFit="1" customWidth="1"/>
    <col min="2820" max="2820" width="11.7109375" bestFit="1" customWidth="1"/>
    <col min="2821" max="2822" width="13.7109375" bestFit="1" customWidth="1"/>
    <col min="2823" max="2823" width="12.5703125" bestFit="1" customWidth="1"/>
    <col min="2824" max="2824" width="12.85546875" bestFit="1" customWidth="1"/>
    <col min="2825" max="2825" width="13.85546875" bestFit="1" customWidth="1"/>
    <col min="2826" max="2827" width="12.85546875" bestFit="1" customWidth="1"/>
    <col min="2828" max="2828" width="4.7109375" bestFit="1" customWidth="1"/>
    <col min="2829" max="2830" width="12.85546875" bestFit="1" customWidth="1"/>
    <col min="3074" max="3074" width="4.140625" bestFit="1" customWidth="1"/>
    <col min="3075" max="3075" width="8.42578125" bestFit="1" customWidth="1"/>
    <col min="3076" max="3076" width="11.7109375" bestFit="1" customWidth="1"/>
    <col min="3077" max="3078" width="13.7109375" bestFit="1" customWidth="1"/>
    <col min="3079" max="3079" width="12.5703125" bestFit="1" customWidth="1"/>
    <col min="3080" max="3080" width="12.85546875" bestFit="1" customWidth="1"/>
    <col min="3081" max="3081" width="13.85546875" bestFit="1" customWidth="1"/>
    <col min="3082" max="3083" width="12.85546875" bestFit="1" customWidth="1"/>
    <col min="3084" max="3084" width="4.7109375" bestFit="1" customWidth="1"/>
    <col min="3085" max="3086" width="12.85546875" bestFit="1" customWidth="1"/>
    <col min="3330" max="3330" width="4.140625" bestFit="1" customWidth="1"/>
    <col min="3331" max="3331" width="8.42578125" bestFit="1" customWidth="1"/>
    <col min="3332" max="3332" width="11.7109375" bestFit="1" customWidth="1"/>
    <col min="3333" max="3334" width="13.7109375" bestFit="1" customWidth="1"/>
    <col min="3335" max="3335" width="12.5703125" bestFit="1" customWidth="1"/>
    <col min="3336" max="3336" width="12.85546875" bestFit="1" customWidth="1"/>
    <col min="3337" max="3337" width="13.85546875" bestFit="1" customWidth="1"/>
    <col min="3338" max="3339" width="12.85546875" bestFit="1" customWidth="1"/>
    <col min="3340" max="3340" width="4.7109375" bestFit="1" customWidth="1"/>
    <col min="3341" max="3342" width="12.85546875" bestFit="1" customWidth="1"/>
    <col min="3586" max="3586" width="4.140625" bestFit="1" customWidth="1"/>
    <col min="3587" max="3587" width="8.42578125" bestFit="1" customWidth="1"/>
    <col min="3588" max="3588" width="11.7109375" bestFit="1" customWidth="1"/>
    <col min="3589" max="3590" width="13.7109375" bestFit="1" customWidth="1"/>
    <col min="3591" max="3591" width="12.5703125" bestFit="1" customWidth="1"/>
    <col min="3592" max="3592" width="12.85546875" bestFit="1" customWidth="1"/>
    <col min="3593" max="3593" width="13.85546875" bestFit="1" customWidth="1"/>
    <col min="3594" max="3595" width="12.85546875" bestFit="1" customWidth="1"/>
    <col min="3596" max="3596" width="4.7109375" bestFit="1" customWidth="1"/>
    <col min="3597" max="3598" width="12.85546875" bestFit="1" customWidth="1"/>
    <col min="3842" max="3842" width="4.140625" bestFit="1" customWidth="1"/>
    <col min="3843" max="3843" width="8.42578125" bestFit="1" customWidth="1"/>
    <col min="3844" max="3844" width="11.7109375" bestFit="1" customWidth="1"/>
    <col min="3845" max="3846" width="13.7109375" bestFit="1" customWidth="1"/>
    <col min="3847" max="3847" width="12.5703125" bestFit="1" customWidth="1"/>
    <col min="3848" max="3848" width="12.85546875" bestFit="1" customWidth="1"/>
    <col min="3849" max="3849" width="13.85546875" bestFit="1" customWidth="1"/>
    <col min="3850" max="3851" width="12.85546875" bestFit="1" customWidth="1"/>
    <col min="3852" max="3852" width="4.7109375" bestFit="1" customWidth="1"/>
    <col min="3853" max="3854" width="12.85546875" bestFit="1" customWidth="1"/>
    <col min="4098" max="4098" width="4.140625" bestFit="1" customWidth="1"/>
    <col min="4099" max="4099" width="8.42578125" bestFit="1" customWidth="1"/>
    <col min="4100" max="4100" width="11.7109375" bestFit="1" customWidth="1"/>
    <col min="4101" max="4102" width="13.7109375" bestFit="1" customWidth="1"/>
    <col min="4103" max="4103" width="12.5703125" bestFit="1" customWidth="1"/>
    <col min="4104" max="4104" width="12.85546875" bestFit="1" customWidth="1"/>
    <col min="4105" max="4105" width="13.85546875" bestFit="1" customWidth="1"/>
    <col min="4106" max="4107" width="12.85546875" bestFit="1" customWidth="1"/>
    <col min="4108" max="4108" width="4.7109375" bestFit="1" customWidth="1"/>
    <col min="4109" max="4110" width="12.85546875" bestFit="1" customWidth="1"/>
    <col min="4354" max="4354" width="4.140625" bestFit="1" customWidth="1"/>
    <col min="4355" max="4355" width="8.42578125" bestFit="1" customWidth="1"/>
    <col min="4356" max="4356" width="11.7109375" bestFit="1" customWidth="1"/>
    <col min="4357" max="4358" width="13.7109375" bestFit="1" customWidth="1"/>
    <col min="4359" max="4359" width="12.5703125" bestFit="1" customWidth="1"/>
    <col min="4360" max="4360" width="12.85546875" bestFit="1" customWidth="1"/>
    <col min="4361" max="4361" width="13.85546875" bestFit="1" customWidth="1"/>
    <col min="4362" max="4363" width="12.85546875" bestFit="1" customWidth="1"/>
    <col min="4364" max="4364" width="4.7109375" bestFit="1" customWidth="1"/>
    <col min="4365" max="4366" width="12.85546875" bestFit="1" customWidth="1"/>
    <col min="4610" max="4610" width="4.140625" bestFit="1" customWidth="1"/>
    <col min="4611" max="4611" width="8.42578125" bestFit="1" customWidth="1"/>
    <col min="4612" max="4612" width="11.7109375" bestFit="1" customWidth="1"/>
    <col min="4613" max="4614" width="13.7109375" bestFit="1" customWidth="1"/>
    <col min="4615" max="4615" width="12.5703125" bestFit="1" customWidth="1"/>
    <col min="4616" max="4616" width="12.85546875" bestFit="1" customWidth="1"/>
    <col min="4617" max="4617" width="13.85546875" bestFit="1" customWidth="1"/>
    <col min="4618" max="4619" width="12.85546875" bestFit="1" customWidth="1"/>
    <col min="4620" max="4620" width="4.7109375" bestFit="1" customWidth="1"/>
    <col min="4621" max="4622" width="12.85546875" bestFit="1" customWidth="1"/>
    <col min="4866" max="4866" width="4.140625" bestFit="1" customWidth="1"/>
    <col min="4867" max="4867" width="8.42578125" bestFit="1" customWidth="1"/>
    <col min="4868" max="4868" width="11.7109375" bestFit="1" customWidth="1"/>
    <col min="4869" max="4870" width="13.7109375" bestFit="1" customWidth="1"/>
    <col min="4871" max="4871" width="12.5703125" bestFit="1" customWidth="1"/>
    <col min="4872" max="4872" width="12.85546875" bestFit="1" customWidth="1"/>
    <col min="4873" max="4873" width="13.85546875" bestFit="1" customWidth="1"/>
    <col min="4874" max="4875" width="12.85546875" bestFit="1" customWidth="1"/>
    <col min="4876" max="4876" width="4.7109375" bestFit="1" customWidth="1"/>
    <col min="4877" max="4878" width="12.85546875" bestFit="1" customWidth="1"/>
    <col min="5122" max="5122" width="4.140625" bestFit="1" customWidth="1"/>
    <col min="5123" max="5123" width="8.42578125" bestFit="1" customWidth="1"/>
    <col min="5124" max="5124" width="11.7109375" bestFit="1" customWidth="1"/>
    <col min="5125" max="5126" width="13.7109375" bestFit="1" customWidth="1"/>
    <col min="5127" max="5127" width="12.5703125" bestFit="1" customWidth="1"/>
    <col min="5128" max="5128" width="12.85546875" bestFit="1" customWidth="1"/>
    <col min="5129" max="5129" width="13.85546875" bestFit="1" customWidth="1"/>
    <col min="5130" max="5131" width="12.85546875" bestFit="1" customWidth="1"/>
    <col min="5132" max="5132" width="4.7109375" bestFit="1" customWidth="1"/>
    <col min="5133" max="5134" width="12.85546875" bestFit="1" customWidth="1"/>
    <col min="5378" max="5378" width="4.140625" bestFit="1" customWidth="1"/>
    <col min="5379" max="5379" width="8.42578125" bestFit="1" customWidth="1"/>
    <col min="5380" max="5380" width="11.7109375" bestFit="1" customWidth="1"/>
    <col min="5381" max="5382" width="13.7109375" bestFit="1" customWidth="1"/>
    <col min="5383" max="5383" width="12.5703125" bestFit="1" customWidth="1"/>
    <col min="5384" max="5384" width="12.85546875" bestFit="1" customWidth="1"/>
    <col min="5385" max="5385" width="13.85546875" bestFit="1" customWidth="1"/>
    <col min="5386" max="5387" width="12.85546875" bestFit="1" customWidth="1"/>
    <col min="5388" max="5388" width="4.7109375" bestFit="1" customWidth="1"/>
    <col min="5389" max="5390" width="12.85546875" bestFit="1" customWidth="1"/>
    <col min="5634" max="5634" width="4.140625" bestFit="1" customWidth="1"/>
    <col min="5635" max="5635" width="8.42578125" bestFit="1" customWidth="1"/>
    <col min="5636" max="5636" width="11.7109375" bestFit="1" customWidth="1"/>
    <col min="5637" max="5638" width="13.7109375" bestFit="1" customWidth="1"/>
    <col min="5639" max="5639" width="12.5703125" bestFit="1" customWidth="1"/>
    <col min="5640" max="5640" width="12.85546875" bestFit="1" customWidth="1"/>
    <col min="5641" max="5641" width="13.85546875" bestFit="1" customWidth="1"/>
    <col min="5642" max="5643" width="12.85546875" bestFit="1" customWidth="1"/>
    <col min="5644" max="5644" width="4.7109375" bestFit="1" customWidth="1"/>
    <col min="5645" max="5646" width="12.85546875" bestFit="1" customWidth="1"/>
    <col min="5890" max="5890" width="4.140625" bestFit="1" customWidth="1"/>
    <col min="5891" max="5891" width="8.42578125" bestFit="1" customWidth="1"/>
    <col min="5892" max="5892" width="11.7109375" bestFit="1" customWidth="1"/>
    <col min="5893" max="5894" width="13.7109375" bestFit="1" customWidth="1"/>
    <col min="5895" max="5895" width="12.5703125" bestFit="1" customWidth="1"/>
    <col min="5896" max="5896" width="12.85546875" bestFit="1" customWidth="1"/>
    <col min="5897" max="5897" width="13.85546875" bestFit="1" customWidth="1"/>
    <col min="5898" max="5899" width="12.85546875" bestFit="1" customWidth="1"/>
    <col min="5900" max="5900" width="4.7109375" bestFit="1" customWidth="1"/>
    <col min="5901" max="5902" width="12.85546875" bestFit="1" customWidth="1"/>
    <col min="6146" max="6146" width="4.140625" bestFit="1" customWidth="1"/>
    <col min="6147" max="6147" width="8.42578125" bestFit="1" customWidth="1"/>
    <col min="6148" max="6148" width="11.7109375" bestFit="1" customWidth="1"/>
    <col min="6149" max="6150" width="13.7109375" bestFit="1" customWidth="1"/>
    <col min="6151" max="6151" width="12.5703125" bestFit="1" customWidth="1"/>
    <col min="6152" max="6152" width="12.85546875" bestFit="1" customWidth="1"/>
    <col min="6153" max="6153" width="13.85546875" bestFit="1" customWidth="1"/>
    <col min="6154" max="6155" width="12.85546875" bestFit="1" customWidth="1"/>
    <col min="6156" max="6156" width="4.7109375" bestFit="1" customWidth="1"/>
    <col min="6157" max="6158" width="12.85546875" bestFit="1" customWidth="1"/>
    <col min="6402" max="6402" width="4.140625" bestFit="1" customWidth="1"/>
    <col min="6403" max="6403" width="8.42578125" bestFit="1" customWidth="1"/>
    <col min="6404" max="6404" width="11.7109375" bestFit="1" customWidth="1"/>
    <col min="6405" max="6406" width="13.7109375" bestFit="1" customWidth="1"/>
    <col min="6407" max="6407" width="12.5703125" bestFit="1" customWidth="1"/>
    <col min="6408" max="6408" width="12.85546875" bestFit="1" customWidth="1"/>
    <col min="6409" max="6409" width="13.85546875" bestFit="1" customWidth="1"/>
    <col min="6410" max="6411" width="12.85546875" bestFit="1" customWidth="1"/>
    <col min="6412" max="6412" width="4.7109375" bestFit="1" customWidth="1"/>
    <col min="6413" max="6414" width="12.85546875" bestFit="1" customWidth="1"/>
    <col min="6658" max="6658" width="4.140625" bestFit="1" customWidth="1"/>
    <col min="6659" max="6659" width="8.42578125" bestFit="1" customWidth="1"/>
    <col min="6660" max="6660" width="11.7109375" bestFit="1" customWidth="1"/>
    <col min="6661" max="6662" width="13.7109375" bestFit="1" customWidth="1"/>
    <col min="6663" max="6663" width="12.5703125" bestFit="1" customWidth="1"/>
    <col min="6664" max="6664" width="12.85546875" bestFit="1" customWidth="1"/>
    <col min="6665" max="6665" width="13.85546875" bestFit="1" customWidth="1"/>
    <col min="6666" max="6667" width="12.85546875" bestFit="1" customWidth="1"/>
    <col min="6668" max="6668" width="4.7109375" bestFit="1" customWidth="1"/>
    <col min="6669" max="6670" width="12.85546875" bestFit="1" customWidth="1"/>
    <col min="6914" max="6914" width="4.140625" bestFit="1" customWidth="1"/>
    <col min="6915" max="6915" width="8.42578125" bestFit="1" customWidth="1"/>
    <col min="6916" max="6916" width="11.7109375" bestFit="1" customWidth="1"/>
    <col min="6917" max="6918" width="13.7109375" bestFit="1" customWidth="1"/>
    <col min="6919" max="6919" width="12.5703125" bestFit="1" customWidth="1"/>
    <col min="6920" max="6920" width="12.85546875" bestFit="1" customWidth="1"/>
    <col min="6921" max="6921" width="13.85546875" bestFit="1" customWidth="1"/>
    <col min="6922" max="6923" width="12.85546875" bestFit="1" customWidth="1"/>
    <col min="6924" max="6924" width="4.7109375" bestFit="1" customWidth="1"/>
    <col min="6925" max="6926" width="12.85546875" bestFit="1" customWidth="1"/>
    <col min="7170" max="7170" width="4.140625" bestFit="1" customWidth="1"/>
    <col min="7171" max="7171" width="8.42578125" bestFit="1" customWidth="1"/>
    <col min="7172" max="7172" width="11.7109375" bestFit="1" customWidth="1"/>
    <col min="7173" max="7174" width="13.7109375" bestFit="1" customWidth="1"/>
    <col min="7175" max="7175" width="12.5703125" bestFit="1" customWidth="1"/>
    <col min="7176" max="7176" width="12.85546875" bestFit="1" customWidth="1"/>
    <col min="7177" max="7177" width="13.85546875" bestFit="1" customWidth="1"/>
    <col min="7178" max="7179" width="12.85546875" bestFit="1" customWidth="1"/>
    <col min="7180" max="7180" width="4.7109375" bestFit="1" customWidth="1"/>
    <col min="7181" max="7182" width="12.85546875" bestFit="1" customWidth="1"/>
    <col min="7426" max="7426" width="4.140625" bestFit="1" customWidth="1"/>
    <col min="7427" max="7427" width="8.42578125" bestFit="1" customWidth="1"/>
    <col min="7428" max="7428" width="11.7109375" bestFit="1" customWidth="1"/>
    <col min="7429" max="7430" width="13.7109375" bestFit="1" customWidth="1"/>
    <col min="7431" max="7431" width="12.5703125" bestFit="1" customWidth="1"/>
    <col min="7432" max="7432" width="12.85546875" bestFit="1" customWidth="1"/>
    <col min="7433" max="7433" width="13.85546875" bestFit="1" customWidth="1"/>
    <col min="7434" max="7435" width="12.85546875" bestFit="1" customWidth="1"/>
    <col min="7436" max="7436" width="4.7109375" bestFit="1" customWidth="1"/>
    <col min="7437" max="7438" width="12.85546875" bestFit="1" customWidth="1"/>
    <col min="7682" max="7682" width="4.140625" bestFit="1" customWidth="1"/>
    <col min="7683" max="7683" width="8.42578125" bestFit="1" customWidth="1"/>
    <col min="7684" max="7684" width="11.7109375" bestFit="1" customWidth="1"/>
    <col min="7685" max="7686" width="13.7109375" bestFit="1" customWidth="1"/>
    <col min="7687" max="7687" width="12.5703125" bestFit="1" customWidth="1"/>
    <col min="7688" max="7688" width="12.85546875" bestFit="1" customWidth="1"/>
    <col min="7689" max="7689" width="13.85546875" bestFit="1" customWidth="1"/>
    <col min="7690" max="7691" width="12.85546875" bestFit="1" customWidth="1"/>
    <col min="7692" max="7692" width="4.7109375" bestFit="1" customWidth="1"/>
    <col min="7693" max="7694" width="12.85546875" bestFit="1" customWidth="1"/>
    <col min="7938" max="7938" width="4.140625" bestFit="1" customWidth="1"/>
    <col min="7939" max="7939" width="8.42578125" bestFit="1" customWidth="1"/>
    <col min="7940" max="7940" width="11.7109375" bestFit="1" customWidth="1"/>
    <col min="7941" max="7942" width="13.7109375" bestFit="1" customWidth="1"/>
    <col min="7943" max="7943" width="12.5703125" bestFit="1" customWidth="1"/>
    <col min="7944" max="7944" width="12.85546875" bestFit="1" customWidth="1"/>
    <col min="7945" max="7945" width="13.85546875" bestFit="1" customWidth="1"/>
    <col min="7946" max="7947" width="12.85546875" bestFit="1" customWidth="1"/>
    <col min="7948" max="7948" width="4.7109375" bestFit="1" customWidth="1"/>
    <col min="7949" max="7950" width="12.85546875" bestFit="1" customWidth="1"/>
    <col min="8194" max="8194" width="4.140625" bestFit="1" customWidth="1"/>
    <col min="8195" max="8195" width="8.42578125" bestFit="1" customWidth="1"/>
    <col min="8196" max="8196" width="11.7109375" bestFit="1" customWidth="1"/>
    <col min="8197" max="8198" width="13.7109375" bestFit="1" customWidth="1"/>
    <col min="8199" max="8199" width="12.5703125" bestFit="1" customWidth="1"/>
    <col min="8200" max="8200" width="12.85546875" bestFit="1" customWidth="1"/>
    <col min="8201" max="8201" width="13.85546875" bestFit="1" customWidth="1"/>
    <col min="8202" max="8203" width="12.85546875" bestFit="1" customWidth="1"/>
    <col min="8204" max="8204" width="4.7109375" bestFit="1" customWidth="1"/>
    <col min="8205" max="8206" width="12.85546875" bestFit="1" customWidth="1"/>
    <col min="8450" max="8450" width="4.140625" bestFit="1" customWidth="1"/>
    <col min="8451" max="8451" width="8.42578125" bestFit="1" customWidth="1"/>
    <col min="8452" max="8452" width="11.7109375" bestFit="1" customWidth="1"/>
    <col min="8453" max="8454" width="13.7109375" bestFit="1" customWidth="1"/>
    <col min="8455" max="8455" width="12.5703125" bestFit="1" customWidth="1"/>
    <col min="8456" max="8456" width="12.85546875" bestFit="1" customWidth="1"/>
    <col min="8457" max="8457" width="13.85546875" bestFit="1" customWidth="1"/>
    <col min="8458" max="8459" width="12.85546875" bestFit="1" customWidth="1"/>
    <col min="8460" max="8460" width="4.7109375" bestFit="1" customWidth="1"/>
    <col min="8461" max="8462" width="12.85546875" bestFit="1" customWidth="1"/>
    <col min="8706" max="8706" width="4.140625" bestFit="1" customWidth="1"/>
    <col min="8707" max="8707" width="8.42578125" bestFit="1" customWidth="1"/>
    <col min="8708" max="8708" width="11.7109375" bestFit="1" customWidth="1"/>
    <col min="8709" max="8710" width="13.7109375" bestFit="1" customWidth="1"/>
    <col min="8711" max="8711" width="12.5703125" bestFit="1" customWidth="1"/>
    <col min="8712" max="8712" width="12.85546875" bestFit="1" customWidth="1"/>
    <col min="8713" max="8713" width="13.85546875" bestFit="1" customWidth="1"/>
    <col min="8714" max="8715" width="12.85546875" bestFit="1" customWidth="1"/>
    <col min="8716" max="8716" width="4.7109375" bestFit="1" customWidth="1"/>
    <col min="8717" max="8718" width="12.85546875" bestFit="1" customWidth="1"/>
    <col min="8962" max="8962" width="4.140625" bestFit="1" customWidth="1"/>
    <col min="8963" max="8963" width="8.42578125" bestFit="1" customWidth="1"/>
    <col min="8964" max="8964" width="11.7109375" bestFit="1" customWidth="1"/>
    <col min="8965" max="8966" width="13.7109375" bestFit="1" customWidth="1"/>
    <col min="8967" max="8967" width="12.5703125" bestFit="1" customWidth="1"/>
    <col min="8968" max="8968" width="12.85546875" bestFit="1" customWidth="1"/>
    <col min="8969" max="8969" width="13.85546875" bestFit="1" customWidth="1"/>
    <col min="8970" max="8971" width="12.85546875" bestFit="1" customWidth="1"/>
    <col min="8972" max="8972" width="4.7109375" bestFit="1" customWidth="1"/>
    <col min="8973" max="8974" width="12.85546875" bestFit="1" customWidth="1"/>
    <col min="9218" max="9218" width="4.140625" bestFit="1" customWidth="1"/>
    <col min="9219" max="9219" width="8.42578125" bestFit="1" customWidth="1"/>
    <col min="9220" max="9220" width="11.7109375" bestFit="1" customWidth="1"/>
    <col min="9221" max="9222" width="13.7109375" bestFit="1" customWidth="1"/>
    <col min="9223" max="9223" width="12.5703125" bestFit="1" customWidth="1"/>
    <col min="9224" max="9224" width="12.85546875" bestFit="1" customWidth="1"/>
    <col min="9225" max="9225" width="13.85546875" bestFit="1" customWidth="1"/>
    <col min="9226" max="9227" width="12.85546875" bestFit="1" customWidth="1"/>
    <col min="9228" max="9228" width="4.7109375" bestFit="1" customWidth="1"/>
    <col min="9229" max="9230" width="12.85546875" bestFit="1" customWidth="1"/>
    <col min="9474" max="9474" width="4.140625" bestFit="1" customWidth="1"/>
    <col min="9475" max="9475" width="8.42578125" bestFit="1" customWidth="1"/>
    <col min="9476" max="9476" width="11.7109375" bestFit="1" customWidth="1"/>
    <col min="9477" max="9478" width="13.7109375" bestFit="1" customWidth="1"/>
    <col min="9479" max="9479" width="12.5703125" bestFit="1" customWidth="1"/>
    <col min="9480" max="9480" width="12.85546875" bestFit="1" customWidth="1"/>
    <col min="9481" max="9481" width="13.85546875" bestFit="1" customWidth="1"/>
    <col min="9482" max="9483" width="12.85546875" bestFit="1" customWidth="1"/>
    <col min="9484" max="9484" width="4.7109375" bestFit="1" customWidth="1"/>
    <col min="9485" max="9486" width="12.85546875" bestFit="1" customWidth="1"/>
    <col min="9730" max="9730" width="4.140625" bestFit="1" customWidth="1"/>
    <col min="9731" max="9731" width="8.42578125" bestFit="1" customWidth="1"/>
    <col min="9732" max="9732" width="11.7109375" bestFit="1" customWidth="1"/>
    <col min="9733" max="9734" width="13.7109375" bestFit="1" customWidth="1"/>
    <col min="9735" max="9735" width="12.5703125" bestFit="1" customWidth="1"/>
    <col min="9736" max="9736" width="12.85546875" bestFit="1" customWidth="1"/>
    <col min="9737" max="9737" width="13.85546875" bestFit="1" customWidth="1"/>
    <col min="9738" max="9739" width="12.85546875" bestFit="1" customWidth="1"/>
    <col min="9740" max="9740" width="4.7109375" bestFit="1" customWidth="1"/>
    <col min="9741" max="9742" width="12.85546875" bestFit="1" customWidth="1"/>
    <col min="9986" max="9986" width="4.140625" bestFit="1" customWidth="1"/>
    <col min="9987" max="9987" width="8.42578125" bestFit="1" customWidth="1"/>
    <col min="9988" max="9988" width="11.7109375" bestFit="1" customWidth="1"/>
    <col min="9989" max="9990" width="13.7109375" bestFit="1" customWidth="1"/>
    <col min="9991" max="9991" width="12.5703125" bestFit="1" customWidth="1"/>
    <col min="9992" max="9992" width="12.85546875" bestFit="1" customWidth="1"/>
    <col min="9993" max="9993" width="13.85546875" bestFit="1" customWidth="1"/>
    <col min="9994" max="9995" width="12.85546875" bestFit="1" customWidth="1"/>
    <col min="9996" max="9996" width="4.7109375" bestFit="1" customWidth="1"/>
    <col min="9997" max="9998" width="12.85546875" bestFit="1" customWidth="1"/>
    <col min="10242" max="10242" width="4.140625" bestFit="1" customWidth="1"/>
    <col min="10243" max="10243" width="8.42578125" bestFit="1" customWidth="1"/>
    <col min="10244" max="10244" width="11.7109375" bestFit="1" customWidth="1"/>
    <col min="10245" max="10246" width="13.7109375" bestFit="1" customWidth="1"/>
    <col min="10247" max="10247" width="12.5703125" bestFit="1" customWidth="1"/>
    <col min="10248" max="10248" width="12.85546875" bestFit="1" customWidth="1"/>
    <col min="10249" max="10249" width="13.85546875" bestFit="1" customWidth="1"/>
    <col min="10250" max="10251" width="12.85546875" bestFit="1" customWidth="1"/>
    <col min="10252" max="10252" width="4.7109375" bestFit="1" customWidth="1"/>
    <col min="10253" max="10254" width="12.85546875" bestFit="1" customWidth="1"/>
    <col min="10498" max="10498" width="4.140625" bestFit="1" customWidth="1"/>
    <col min="10499" max="10499" width="8.42578125" bestFit="1" customWidth="1"/>
    <col min="10500" max="10500" width="11.7109375" bestFit="1" customWidth="1"/>
    <col min="10501" max="10502" width="13.7109375" bestFit="1" customWidth="1"/>
    <col min="10503" max="10503" width="12.5703125" bestFit="1" customWidth="1"/>
    <col min="10504" max="10504" width="12.85546875" bestFit="1" customWidth="1"/>
    <col min="10505" max="10505" width="13.85546875" bestFit="1" customWidth="1"/>
    <col min="10506" max="10507" width="12.85546875" bestFit="1" customWidth="1"/>
    <col min="10508" max="10508" width="4.7109375" bestFit="1" customWidth="1"/>
    <col min="10509" max="10510" width="12.85546875" bestFit="1" customWidth="1"/>
    <col min="10754" max="10754" width="4.140625" bestFit="1" customWidth="1"/>
    <col min="10755" max="10755" width="8.42578125" bestFit="1" customWidth="1"/>
    <col min="10756" max="10756" width="11.7109375" bestFit="1" customWidth="1"/>
    <col min="10757" max="10758" width="13.7109375" bestFit="1" customWidth="1"/>
    <col min="10759" max="10759" width="12.5703125" bestFit="1" customWidth="1"/>
    <col min="10760" max="10760" width="12.85546875" bestFit="1" customWidth="1"/>
    <col min="10761" max="10761" width="13.85546875" bestFit="1" customWidth="1"/>
    <col min="10762" max="10763" width="12.85546875" bestFit="1" customWidth="1"/>
    <col min="10764" max="10764" width="4.7109375" bestFit="1" customWidth="1"/>
    <col min="10765" max="10766" width="12.85546875" bestFit="1" customWidth="1"/>
    <col min="11010" max="11010" width="4.140625" bestFit="1" customWidth="1"/>
    <col min="11011" max="11011" width="8.42578125" bestFit="1" customWidth="1"/>
    <col min="11012" max="11012" width="11.7109375" bestFit="1" customWidth="1"/>
    <col min="11013" max="11014" width="13.7109375" bestFit="1" customWidth="1"/>
    <col min="11015" max="11015" width="12.5703125" bestFit="1" customWidth="1"/>
    <col min="11016" max="11016" width="12.85546875" bestFit="1" customWidth="1"/>
    <col min="11017" max="11017" width="13.85546875" bestFit="1" customWidth="1"/>
    <col min="11018" max="11019" width="12.85546875" bestFit="1" customWidth="1"/>
    <col min="11020" max="11020" width="4.7109375" bestFit="1" customWidth="1"/>
    <col min="11021" max="11022" width="12.85546875" bestFit="1" customWidth="1"/>
    <col min="11266" max="11266" width="4.140625" bestFit="1" customWidth="1"/>
    <col min="11267" max="11267" width="8.42578125" bestFit="1" customWidth="1"/>
    <col min="11268" max="11268" width="11.7109375" bestFit="1" customWidth="1"/>
    <col min="11269" max="11270" width="13.7109375" bestFit="1" customWidth="1"/>
    <col min="11271" max="11271" width="12.5703125" bestFit="1" customWidth="1"/>
    <col min="11272" max="11272" width="12.85546875" bestFit="1" customWidth="1"/>
    <col min="11273" max="11273" width="13.85546875" bestFit="1" customWidth="1"/>
    <col min="11274" max="11275" width="12.85546875" bestFit="1" customWidth="1"/>
    <col min="11276" max="11276" width="4.7109375" bestFit="1" customWidth="1"/>
    <col min="11277" max="11278" width="12.85546875" bestFit="1" customWidth="1"/>
    <col min="11522" max="11522" width="4.140625" bestFit="1" customWidth="1"/>
    <col min="11523" max="11523" width="8.42578125" bestFit="1" customWidth="1"/>
    <col min="11524" max="11524" width="11.7109375" bestFit="1" customWidth="1"/>
    <col min="11525" max="11526" width="13.7109375" bestFit="1" customWidth="1"/>
    <col min="11527" max="11527" width="12.5703125" bestFit="1" customWidth="1"/>
    <col min="11528" max="11528" width="12.85546875" bestFit="1" customWidth="1"/>
    <col min="11529" max="11529" width="13.85546875" bestFit="1" customWidth="1"/>
    <col min="11530" max="11531" width="12.85546875" bestFit="1" customWidth="1"/>
    <col min="11532" max="11532" width="4.7109375" bestFit="1" customWidth="1"/>
    <col min="11533" max="11534" width="12.85546875" bestFit="1" customWidth="1"/>
    <col min="11778" max="11778" width="4.140625" bestFit="1" customWidth="1"/>
    <col min="11779" max="11779" width="8.42578125" bestFit="1" customWidth="1"/>
    <col min="11780" max="11780" width="11.7109375" bestFit="1" customWidth="1"/>
    <col min="11781" max="11782" width="13.7109375" bestFit="1" customWidth="1"/>
    <col min="11783" max="11783" width="12.5703125" bestFit="1" customWidth="1"/>
    <col min="11784" max="11784" width="12.85546875" bestFit="1" customWidth="1"/>
    <col min="11785" max="11785" width="13.85546875" bestFit="1" customWidth="1"/>
    <col min="11786" max="11787" width="12.85546875" bestFit="1" customWidth="1"/>
    <col min="11788" max="11788" width="4.7109375" bestFit="1" customWidth="1"/>
    <col min="11789" max="11790" width="12.85546875" bestFit="1" customWidth="1"/>
    <col min="12034" max="12034" width="4.140625" bestFit="1" customWidth="1"/>
    <col min="12035" max="12035" width="8.42578125" bestFit="1" customWidth="1"/>
    <col min="12036" max="12036" width="11.7109375" bestFit="1" customWidth="1"/>
    <col min="12037" max="12038" width="13.7109375" bestFit="1" customWidth="1"/>
    <col min="12039" max="12039" width="12.5703125" bestFit="1" customWidth="1"/>
    <col min="12040" max="12040" width="12.85546875" bestFit="1" customWidth="1"/>
    <col min="12041" max="12041" width="13.85546875" bestFit="1" customWidth="1"/>
    <col min="12042" max="12043" width="12.85546875" bestFit="1" customWidth="1"/>
    <col min="12044" max="12044" width="4.7109375" bestFit="1" customWidth="1"/>
    <col min="12045" max="12046" width="12.85546875" bestFit="1" customWidth="1"/>
    <col min="12290" max="12290" width="4.140625" bestFit="1" customWidth="1"/>
    <col min="12291" max="12291" width="8.42578125" bestFit="1" customWidth="1"/>
    <col min="12292" max="12292" width="11.7109375" bestFit="1" customWidth="1"/>
    <col min="12293" max="12294" width="13.7109375" bestFit="1" customWidth="1"/>
    <col min="12295" max="12295" width="12.5703125" bestFit="1" customWidth="1"/>
    <col min="12296" max="12296" width="12.85546875" bestFit="1" customWidth="1"/>
    <col min="12297" max="12297" width="13.85546875" bestFit="1" customWidth="1"/>
    <col min="12298" max="12299" width="12.85546875" bestFit="1" customWidth="1"/>
    <col min="12300" max="12300" width="4.7109375" bestFit="1" customWidth="1"/>
    <col min="12301" max="12302" width="12.85546875" bestFit="1" customWidth="1"/>
    <col min="12546" max="12546" width="4.140625" bestFit="1" customWidth="1"/>
    <col min="12547" max="12547" width="8.42578125" bestFit="1" customWidth="1"/>
    <col min="12548" max="12548" width="11.7109375" bestFit="1" customWidth="1"/>
    <col min="12549" max="12550" width="13.7109375" bestFit="1" customWidth="1"/>
    <col min="12551" max="12551" width="12.5703125" bestFit="1" customWidth="1"/>
    <col min="12552" max="12552" width="12.85546875" bestFit="1" customWidth="1"/>
    <col min="12553" max="12553" width="13.85546875" bestFit="1" customWidth="1"/>
    <col min="12554" max="12555" width="12.85546875" bestFit="1" customWidth="1"/>
    <col min="12556" max="12556" width="4.7109375" bestFit="1" customWidth="1"/>
    <col min="12557" max="12558" width="12.85546875" bestFit="1" customWidth="1"/>
    <col min="12802" max="12802" width="4.140625" bestFit="1" customWidth="1"/>
    <col min="12803" max="12803" width="8.42578125" bestFit="1" customWidth="1"/>
    <col min="12804" max="12804" width="11.7109375" bestFit="1" customWidth="1"/>
    <col min="12805" max="12806" width="13.7109375" bestFit="1" customWidth="1"/>
    <col min="12807" max="12807" width="12.5703125" bestFit="1" customWidth="1"/>
    <col min="12808" max="12808" width="12.85546875" bestFit="1" customWidth="1"/>
    <col min="12809" max="12809" width="13.85546875" bestFit="1" customWidth="1"/>
    <col min="12810" max="12811" width="12.85546875" bestFit="1" customWidth="1"/>
    <col min="12812" max="12812" width="4.7109375" bestFit="1" customWidth="1"/>
    <col min="12813" max="12814" width="12.85546875" bestFit="1" customWidth="1"/>
    <col min="13058" max="13058" width="4.140625" bestFit="1" customWidth="1"/>
    <col min="13059" max="13059" width="8.42578125" bestFit="1" customWidth="1"/>
    <col min="13060" max="13060" width="11.7109375" bestFit="1" customWidth="1"/>
    <col min="13061" max="13062" width="13.7109375" bestFit="1" customWidth="1"/>
    <col min="13063" max="13063" width="12.5703125" bestFit="1" customWidth="1"/>
    <col min="13064" max="13064" width="12.85546875" bestFit="1" customWidth="1"/>
    <col min="13065" max="13065" width="13.85546875" bestFit="1" customWidth="1"/>
    <col min="13066" max="13067" width="12.85546875" bestFit="1" customWidth="1"/>
    <col min="13068" max="13068" width="4.7109375" bestFit="1" customWidth="1"/>
    <col min="13069" max="13070" width="12.85546875" bestFit="1" customWidth="1"/>
    <col min="13314" max="13314" width="4.140625" bestFit="1" customWidth="1"/>
    <col min="13315" max="13315" width="8.42578125" bestFit="1" customWidth="1"/>
    <col min="13316" max="13316" width="11.7109375" bestFit="1" customWidth="1"/>
    <col min="13317" max="13318" width="13.7109375" bestFit="1" customWidth="1"/>
    <col min="13319" max="13319" width="12.5703125" bestFit="1" customWidth="1"/>
    <col min="13320" max="13320" width="12.85546875" bestFit="1" customWidth="1"/>
    <col min="13321" max="13321" width="13.85546875" bestFit="1" customWidth="1"/>
    <col min="13322" max="13323" width="12.85546875" bestFit="1" customWidth="1"/>
    <col min="13324" max="13324" width="4.7109375" bestFit="1" customWidth="1"/>
    <col min="13325" max="13326" width="12.85546875" bestFit="1" customWidth="1"/>
    <col min="13570" max="13570" width="4.140625" bestFit="1" customWidth="1"/>
    <col min="13571" max="13571" width="8.42578125" bestFit="1" customWidth="1"/>
    <col min="13572" max="13572" width="11.7109375" bestFit="1" customWidth="1"/>
    <col min="13573" max="13574" width="13.7109375" bestFit="1" customWidth="1"/>
    <col min="13575" max="13575" width="12.5703125" bestFit="1" customWidth="1"/>
    <col min="13576" max="13576" width="12.85546875" bestFit="1" customWidth="1"/>
    <col min="13577" max="13577" width="13.85546875" bestFit="1" customWidth="1"/>
    <col min="13578" max="13579" width="12.85546875" bestFit="1" customWidth="1"/>
    <col min="13580" max="13580" width="4.7109375" bestFit="1" customWidth="1"/>
    <col min="13581" max="13582" width="12.85546875" bestFit="1" customWidth="1"/>
    <col min="13826" max="13826" width="4.140625" bestFit="1" customWidth="1"/>
    <col min="13827" max="13827" width="8.42578125" bestFit="1" customWidth="1"/>
    <col min="13828" max="13828" width="11.7109375" bestFit="1" customWidth="1"/>
    <col min="13829" max="13830" width="13.7109375" bestFit="1" customWidth="1"/>
    <col min="13831" max="13831" width="12.5703125" bestFit="1" customWidth="1"/>
    <col min="13832" max="13832" width="12.85546875" bestFit="1" customWidth="1"/>
    <col min="13833" max="13833" width="13.85546875" bestFit="1" customWidth="1"/>
    <col min="13834" max="13835" width="12.85546875" bestFit="1" customWidth="1"/>
    <col min="13836" max="13836" width="4.7109375" bestFit="1" customWidth="1"/>
    <col min="13837" max="13838" width="12.85546875" bestFit="1" customWidth="1"/>
    <col min="14082" max="14082" width="4.140625" bestFit="1" customWidth="1"/>
    <col min="14083" max="14083" width="8.42578125" bestFit="1" customWidth="1"/>
    <col min="14084" max="14084" width="11.7109375" bestFit="1" customWidth="1"/>
    <col min="14085" max="14086" width="13.7109375" bestFit="1" customWidth="1"/>
    <col min="14087" max="14087" width="12.5703125" bestFit="1" customWidth="1"/>
    <col min="14088" max="14088" width="12.85546875" bestFit="1" customWidth="1"/>
    <col min="14089" max="14089" width="13.85546875" bestFit="1" customWidth="1"/>
    <col min="14090" max="14091" width="12.85546875" bestFit="1" customWidth="1"/>
    <col min="14092" max="14092" width="4.7109375" bestFit="1" customWidth="1"/>
    <col min="14093" max="14094" width="12.85546875" bestFit="1" customWidth="1"/>
    <col min="14338" max="14338" width="4.140625" bestFit="1" customWidth="1"/>
    <col min="14339" max="14339" width="8.42578125" bestFit="1" customWidth="1"/>
    <col min="14340" max="14340" width="11.7109375" bestFit="1" customWidth="1"/>
    <col min="14341" max="14342" width="13.7109375" bestFit="1" customWidth="1"/>
    <col min="14343" max="14343" width="12.5703125" bestFit="1" customWidth="1"/>
    <col min="14344" max="14344" width="12.85546875" bestFit="1" customWidth="1"/>
    <col min="14345" max="14345" width="13.85546875" bestFit="1" customWidth="1"/>
    <col min="14346" max="14347" width="12.85546875" bestFit="1" customWidth="1"/>
    <col min="14348" max="14348" width="4.7109375" bestFit="1" customWidth="1"/>
    <col min="14349" max="14350" width="12.85546875" bestFit="1" customWidth="1"/>
    <col min="14594" max="14594" width="4.140625" bestFit="1" customWidth="1"/>
    <col min="14595" max="14595" width="8.42578125" bestFit="1" customWidth="1"/>
    <col min="14596" max="14596" width="11.7109375" bestFit="1" customWidth="1"/>
    <col min="14597" max="14598" width="13.7109375" bestFit="1" customWidth="1"/>
    <col min="14599" max="14599" width="12.5703125" bestFit="1" customWidth="1"/>
    <col min="14600" max="14600" width="12.85546875" bestFit="1" customWidth="1"/>
    <col min="14601" max="14601" width="13.85546875" bestFit="1" customWidth="1"/>
    <col min="14602" max="14603" width="12.85546875" bestFit="1" customWidth="1"/>
    <col min="14604" max="14604" width="4.7109375" bestFit="1" customWidth="1"/>
    <col min="14605" max="14606" width="12.85546875" bestFit="1" customWidth="1"/>
    <col min="14850" max="14850" width="4.140625" bestFit="1" customWidth="1"/>
    <col min="14851" max="14851" width="8.42578125" bestFit="1" customWidth="1"/>
    <col min="14852" max="14852" width="11.7109375" bestFit="1" customWidth="1"/>
    <col min="14853" max="14854" width="13.7109375" bestFit="1" customWidth="1"/>
    <col min="14855" max="14855" width="12.5703125" bestFit="1" customWidth="1"/>
    <col min="14856" max="14856" width="12.85546875" bestFit="1" customWidth="1"/>
    <col min="14857" max="14857" width="13.85546875" bestFit="1" customWidth="1"/>
    <col min="14858" max="14859" width="12.85546875" bestFit="1" customWidth="1"/>
    <col min="14860" max="14860" width="4.7109375" bestFit="1" customWidth="1"/>
    <col min="14861" max="14862" width="12.85546875" bestFit="1" customWidth="1"/>
    <col min="15106" max="15106" width="4.140625" bestFit="1" customWidth="1"/>
    <col min="15107" max="15107" width="8.42578125" bestFit="1" customWidth="1"/>
    <col min="15108" max="15108" width="11.7109375" bestFit="1" customWidth="1"/>
    <col min="15109" max="15110" width="13.7109375" bestFit="1" customWidth="1"/>
    <col min="15111" max="15111" width="12.5703125" bestFit="1" customWidth="1"/>
    <col min="15112" max="15112" width="12.85546875" bestFit="1" customWidth="1"/>
    <col min="15113" max="15113" width="13.85546875" bestFit="1" customWidth="1"/>
    <col min="15114" max="15115" width="12.85546875" bestFit="1" customWidth="1"/>
    <col min="15116" max="15116" width="4.7109375" bestFit="1" customWidth="1"/>
    <col min="15117" max="15118" width="12.85546875" bestFit="1" customWidth="1"/>
    <col min="15362" max="15362" width="4.140625" bestFit="1" customWidth="1"/>
    <col min="15363" max="15363" width="8.42578125" bestFit="1" customWidth="1"/>
    <col min="15364" max="15364" width="11.7109375" bestFit="1" customWidth="1"/>
    <col min="15365" max="15366" width="13.7109375" bestFit="1" customWidth="1"/>
    <col min="15367" max="15367" width="12.5703125" bestFit="1" customWidth="1"/>
    <col min="15368" max="15368" width="12.85546875" bestFit="1" customWidth="1"/>
    <col min="15369" max="15369" width="13.85546875" bestFit="1" customWidth="1"/>
    <col min="15370" max="15371" width="12.85546875" bestFit="1" customWidth="1"/>
    <col min="15372" max="15372" width="4.7109375" bestFit="1" customWidth="1"/>
    <col min="15373" max="15374" width="12.85546875" bestFit="1" customWidth="1"/>
    <col min="15618" max="15618" width="4.140625" bestFit="1" customWidth="1"/>
    <col min="15619" max="15619" width="8.42578125" bestFit="1" customWidth="1"/>
    <col min="15620" max="15620" width="11.7109375" bestFit="1" customWidth="1"/>
    <col min="15621" max="15622" width="13.7109375" bestFit="1" customWidth="1"/>
    <col min="15623" max="15623" width="12.5703125" bestFit="1" customWidth="1"/>
    <col min="15624" max="15624" width="12.85546875" bestFit="1" customWidth="1"/>
    <col min="15625" max="15625" width="13.85546875" bestFit="1" customWidth="1"/>
    <col min="15626" max="15627" width="12.85546875" bestFit="1" customWidth="1"/>
    <col min="15628" max="15628" width="4.7109375" bestFit="1" customWidth="1"/>
    <col min="15629" max="15630" width="12.85546875" bestFit="1" customWidth="1"/>
    <col min="15874" max="15874" width="4.140625" bestFit="1" customWidth="1"/>
    <col min="15875" max="15875" width="8.42578125" bestFit="1" customWidth="1"/>
    <col min="15876" max="15876" width="11.7109375" bestFit="1" customWidth="1"/>
    <col min="15877" max="15878" width="13.7109375" bestFit="1" customWidth="1"/>
    <col min="15879" max="15879" width="12.5703125" bestFit="1" customWidth="1"/>
    <col min="15880" max="15880" width="12.85546875" bestFit="1" customWidth="1"/>
    <col min="15881" max="15881" width="13.85546875" bestFit="1" customWidth="1"/>
    <col min="15882" max="15883" width="12.85546875" bestFit="1" customWidth="1"/>
    <col min="15884" max="15884" width="4.7109375" bestFit="1" customWidth="1"/>
    <col min="15885" max="15886" width="12.85546875" bestFit="1" customWidth="1"/>
    <col min="16130" max="16130" width="4.140625" bestFit="1" customWidth="1"/>
    <col min="16131" max="16131" width="8.42578125" bestFit="1" customWidth="1"/>
    <col min="16132" max="16132" width="11.7109375" bestFit="1" customWidth="1"/>
    <col min="16133" max="16134" width="13.7109375" bestFit="1" customWidth="1"/>
    <col min="16135" max="16135" width="12.5703125" bestFit="1" customWidth="1"/>
    <col min="16136" max="16136" width="12.85546875" bestFit="1" customWidth="1"/>
    <col min="16137" max="16137" width="13.85546875" bestFit="1" customWidth="1"/>
    <col min="16138" max="16139" width="12.85546875" bestFit="1" customWidth="1"/>
    <col min="16140" max="16140" width="4.7109375" bestFit="1" customWidth="1"/>
    <col min="16141" max="16142" width="12.85546875" bestFit="1" customWidth="1"/>
  </cols>
  <sheetData>
    <row r="1" spans="2:12">
      <c r="C1" s="67" t="s">
        <v>1280</v>
      </c>
    </row>
    <row r="2" spans="2:12" s="79" customFormat="1" ht="11.25">
      <c r="H2" s="792" t="s">
        <v>1285</v>
      </c>
      <c r="I2" s="792"/>
      <c r="J2" s="792"/>
      <c r="K2" s="792"/>
    </row>
    <row r="3" spans="2:12">
      <c r="B3" s="80" t="s">
        <v>148</v>
      </c>
      <c r="C3" s="81" t="s">
        <v>149</v>
      </c>
      <c r="D3" s="82" t="s">
        <v>1291</v>
      </c>
      <c r="E3" s="83" t="s">
        <v>1292</v>
      </c>
      <c r="F3" s="82" t="s">
        <v>1293</v>
      </c>
      <c r="G3" s="82" t="s">
        <v>1294</v>
      </c>
      <c r="H3" s="84" t="s">
        <v>1295</v>
      </c>
      <c r="I3" s="84" t="s">
        <v>1296</v>
      </c>
      <c r="J3" s="84" t="s">
        <v>1297</v>
      </c>
      <c r="K3" s="430" t="s">
        <v>1298</v>
      </c>
    </row>
    <row r="4" spans="2:12">
      <c r="B4" s="80">
        <v>1</v>
      </c>
      <c r="C4" s="85" t="s">
        <v>152</v>
      </c>
      <c r="D4" s="310">
        <v>4189000</v>
      </c>
      <c r="E4" s="87">
        <f>Cronogra!AE24</f>
        <v>1668806.69</v>
      </c>
      <c r="F4" s="88">
        <f>1624307.91</f>
        <v>1624307.91</v>
      </c>
      <c r="G4" s="89">
        <f>E4-F4</f>
        <v>44498.780000000028</v>
      </c>
      <c r="H4" s="90">
        <v>2150.91</v>
      </c>
      <c r="I4" s="90">
        <v>2150.91</v>
      </c>
      <c r="J4" s="90">
        <f>H4-I4</f>
        <v>0</v>
      </c>
      <c r="K4" s="90">
        <f>H4-I4</f>
        <v>0</v>
      </c>
    </row>
    <row r="5" spans="2:12">
      <c r="B5" s="80">
        <v>2</v>
      </c>
      <c r="C5" s="85" t="s">
        <v>153</v>
      </c>
      <c r="D5" s="318">
        <v>2311581.4500000002</v>
      </c>
      <c r="E5" s="87">
        <f>Cronogra!AE25</f>
        <v>1032379.3100000002</v>
      </c>
      <c r="F5" s="88">
        <v>980304.02</v>
      </c>
      <c r="G5" s="89">
        <f t="shared" ref="G5:G18" si="0">E5-F5</f>
        <v>52075.290000000154</v>
      </c>
      <c r="H5" s="90">
        <v>430609.76</v>
      </c>
      <c r="I5" s="90">
        <v>93090.95</v>
      </c>
      <c r="J5" s="90">
        <f>430609.76-430609.76</f>
        <v>0</v>
      </c>
      <c r="K5" s="90">
        <f>H5-I5</f>
        <v>337518.81</v>
      </c>
      <c r="L5" s="77">
        <f>337518.81-K5</f>
        <v>0</v>
      </c>
    </row>
    <row r="6" spans="2:12">
      <c r="B6" s="80">
        <v>3</v>
      </c>
      <c r="C6" s="85" t="s">
        <v>154</v>
      </c>
      <c r="D6" s="318">
        <v>1251892.3</v>
      </c>
      <c r="E6" s="87">
        <f>Cronogra!AE26</f>
        <v>340054.54000000004</v>
      </c>
      <c r="F6" s="88">
        <v>321713.26</v>
      </c>
      <c r="G6" s="89">
        <f t="shared" si="0"/>
        <v>18341.280000000028</v>
      </c>
      <c r="H6" s="90">
        <v>247473.7</v>
      </c>
      <c r="I6" s="90">
        <v>52717.16</v>
      </c>
      <c r="J6" s="90">
        <f>282751.59-247473.7</f>
        <v>35277.890000000014</v>
      </c>
      <c r="K6" s="90">
        <f>H6-I6</f>
        <v>194756.54</v>
      </c>
      <c r="L6" s="77">
        <f>194756.54-K6</f>
        <v>0</v>
      </c>
    </row>
    <row r="7" spans="2:12">
      <c r="B7" s="80">
        <v>4</v>
      </c>
      <c r="C7" s="85" t="s">
        <v>155</v>
      </c>
      <c r="D7" s="318">
        <v>1831204.8</v>
      </c>
      <c r="E7" s="87">
        <f>Cronogra!AE27</f>
        <v>784533.97</v>
      </c>
      <c r="F7" s="88">
        <v>732056.16</v>
      </c>
      <c r="G7" s="89">
        <f t="shared" si="0"/>
        <v>52477.809999999939</v>
      </c>
      <c r="H7" s="90">
        <v>597265.67000000004</v>
      </c>
      <c r="I7" s="90">
        <f>91279.25</f>
        <v>91279.25</v>
      </c>
      <c r="J7" s="90">
        <f>597406.07-597265.67</f>
        <v>140.39999999990687</v>
      </c>
      <c r="K7" s="90">
        <f t="shared" ref="K7:K17" si="1">H7-I7</f>
        <v>505986.42000000004</v>
      </c>
      <c r="L7" s="77">
        <f>505986.42-K7</f>
        <v>0</v>
      </c>
    </row>
    <row r="8" spans="2:12">
      <c r="B8" s="80">
        <v>5</v>
      </c>
      <c r="C8" s="85" t="s">
        <v>156</v>
      </c>
      <c r="D8" s="318">
        <v>8078865.6299999999</v>
      </c>
      <c r="E8" s="87">
        <f>Cronogra!AE28</f>
        <v>3998623.7299999995</v>
      </c>
      <c r="F8" s="88">
        <v>3486902</v>
      </c>
      <c r="G8" s="89">
        <f t="shared" si="0"/>
        <v>511721.72999999952</v>
      </c>
      <c r="H8" s="90">
        <v>5923622.9900000002</v>
      </c>
      <c r="I8" s="90">
        <f>771508.15</f>
        <v>771508.15</v>
      </c>
      <c r="J8" s="90">
        <f>5985138.89-5923622.99</f>
        <v>61515.899999999441</v>
      </c>
      <c r="K8" s="90">
        <f t="shared" si="1"/>
        <v>5152114.84</v>
      </c>
      <c r="L8" s="77">
        <f>5152114.84-K8</f>
        <v>0</v>
      </c>
    </row>
    <row r="9" spans="2:12">
      <c r="B9" s="80">
        <v>6</v>
      </c>
      <c r="C9" s="85" t="s">
        <v>157</v>
      </c>
      <c r="D9" s="318">
        <v>3547551.94</v>
      </c>
      <c r="E9" s="87">
        <f>Cronogra!AE29</f>
        <v>1541788.35</v>
      </c>
      <c r="F9" s="88">
        <v>1418449.21</v>
      </c>
      <c r="G9" s="89">
        <f t="shared" si="0"/>
        <v>123339.14000000013</v>
      </c>
      <c r="H9" s="90">
        <v>1143866.05</v>
      </c>
      <c r="I9" s="90">
        <v>233409.11</v>
      </c>
      <c r="J9" s="90"/>
      <c r="K9" s="90">
        <f t="shared" si="1"/>
        <v>910456.94000000006</v>
      </c>
      <c r="L9" s="77">
        <f>910456.94-K9</f>
        <v>0</v>
      </c>
    </row>
    <row r="10" spans="2:12">
      <c r="B10" s="80">
        <v>7</v>
      </c>
      <c r="C10" s="85" t="s">
        <v>158</v>
      </c>
      <c r="D10" s="318">
        <v>1207536.08</v>
      </c>
      <c r="E10" s="87">
        <f>Cronogra!AE30</f>
        <v>344689.66000000003</v>
      </c>
      <c r="F10" s="88">
        <v>322943.02</v>
      </c>
      <c r="G10" s="89">
        <f t="shared" si="0"/>
        <v>21746.640000000014</v>
      </c>
      <c r="H10" s="90">
        <v>220079.47</v>
      </c>
      <c r="I10" s="90">
        <v>59826.080000000002</v>
      </c>
      <c r="J10" s="90">
        <f>220135.97-220079.47</f>
        <v>56.5</v>
      </c>
      <c r="K10" s="90">
        <f>H10-I10</f>
        <v>160253.39000000001</v>
      </c>
      <c r="L10" s="77">
        <f>160253.39-K10</f>
        <v>0</v>
      </c>
    </row>
    <row r="11" spans="2:12">
      <c r="B11" s="80">
        <v>8</v>
      </c>
      <c r="C11" s="85" t="s">
        <v>159</v>
      </c>
      <c r="D11" s="318">
        <v>12448467.25</v>
      </c>
      <c r="E11" s="87">
        <f>Cronogra!AE31</f>
        <v>5039977.96</v>
      </c>
      <c r="F11" s="88">
        <v>4546477.63</v>
      </c>
      <c r="G11" s="89">
        <f t="shared" si="0"/>
        <v>493500.33000000007</v>
      </c>
      <c r="H11" s="90">
        <f>5336045.92</f>
        <v>5336045.92</v>
      </c>
      <c r="I11" s="90">
        <v>1235901.04</v>
      </c>
      <c r="J11" s="90">
        <f>5336045.92-3904796.9</f>
        <v>1431249.02</v>
      </c>
      <c r="K11" s="90">
        <f>H11-(I11+J11)</f>
        <v>2668895.86</v>
      </c>
      <c r="L11" s="77">
        <f>2668895.86-K11</f>
        <v>0</v>
      </c>
    </row>
    <row r="12" spans="2:12">
      <c r="B12" s="80">
        <v>9</v>
      </c>
      <c r="C12" s="85" t="s">
        <v>160</v>
      </c>
      <c r="D12" s="318">
        <v>42368245.270000003</v>
      </c>
      <c r="E12" s="87">
        <f>Cronogra!AE32</f>
        <v>15749149.650000002</v>
      </c>
      <c r="F12" s="88">
        <v>14516984.84</v>
      </c>
      <c r="G12" s="89">
        <f t="shared" si="0"/>
        <v>1232164.8100000024</v>
      </c>
      <c r="H12" s="90">
        <f>5866343.08</f>
        <v>5866343.0800000001</v>
      </c>
      <c r="I12" s="90">
        <v>1426735.98</v>
      </c>
      <c r="J12" s="90">
        <f>5866343.08-5665852.82</f>
        <v>200490.25999999978</v>
      </c>
      <c r="K12" s="90">
        <f>H12-(I12+J12)</f>
        <v>4239116.84</v>
      </c>
      <c r="L12" s="77">
        <f>4239116.84-K12</f>
        <v>0</v>
      </c>
    </row>
    <row r="13" spans="2:12">
      <c r="B13" s="80">
        <v>10</v>
      </c>
      <c r="C13" s="85" t="s">
        <v>161</v>
      </c>
      <c r="D13" s="318">
        <v>29327281.219999999</v>
      </c>
      <c r="E13" s="87">
        <f>Cronogra!AE33</f>
        <v>13971037.07</v>
      </c>
      <c r="F13" s="88">
        <v>12695816.84</v>
      </c>
      <c r="G13" s="89">
        <f t="shared" si="0"/>
        <v>1275220.2300000004</v>
      </c>
      <c r="H13" s="90">
        <f>7766012.8</f>
        <v>7766012.7999999998</v>
      </c>
      <c r="I13" s="90">
        <f>2175436.15</f>
        <v>2175436.15</v>
      </c>
      <c r="J13" s="90">
        <f>7766012.8-7764842.78</f>
        <v>1170.019999999553</v>
      </c>
      <c r="K13" s="90">
        <f>H13-(I13+J13)</f>
        <v>5589406.6300000008</v>
      </c>
      <c r="L13" s="77">
        <f>5589406.63-K13</f>
        <v>0</v>
      </c>
    </row>
    <row r="14" spans="2:12">
      <c r="B14" s="80">
        <v>11</v>
      </c>
      <c r="C14" s="85" t="s">
        <v>162</v>
      </c>
      <c r="D14" s="318">
        <v>4494711.5599999996</v>
      </c>
      <c r="E14" s="87">
        <f>Cronogra!AE34</f>
        <v>1809680.29</v>
      </c>
      <c r="F14" s="88">
        <v>1676128.7</v>
      </c>
      <c r="G14" s="89">
        <f t="shared" si="0"/>
        <v>133551.59000000008</v>
      </c>
      <c r="H14" s="90">
        <v>1002924.31</v>
      </c>
      <c r="I14" s="90">
        <v>232876.01</v>
      </c>
      <c r="J14" s="90">
        <f>1003608.34-1002924.31</f>
        <v>684.02999999991152</v>
      </c>
      <c r="K14" s="90">
        <f t="shared" si="1"/>
        <v>770048.3</v>
      </c>
      <c r="L14" s="77">
        <f>770048.3-K14</f>
        <v>0</v>
      </c>
    </row>
    <row r="15" spans="2:12">
      <c r="B15" s="80">
        <v>12</v>
      </c>
      <c r="C15" s="85" t="s">
        <v>163</v>
      </c>
      <c r="D15" s="318">
        <v>2313005.75</v>
      </c>
      <c r="E15" s="87">
        <f>Cronogra!AE35</f>
        <v>679523.72</v>
      </c>
      <c r="F15" s="88">
        <v>595321.17000000004</v>
      </c>
      <c r="G15" s="89">
        <f t="shared" si="0"/>
        <v>84202.54999999993</v>
      </c>
      <c r="H15" s="90">
        <v>385992.62</v>
      </c>
      <c r="I15" s="90">
        <v>90450.45</v>
      </c>
      <c r="J15" s="90">
        <f>386792.28-(385992.62+495.16)</f>
        <v>304.50000000005821</v>
      </c>
      <c r="K15" s="90">
        <f t="shared" si="1"/>
        <v>295542.17</v>
      </c>
      <c r="L15" s="77">
        <f>295542.17-K15</f>
        <v>0</v>
      </c>
    </row>
    <row r="16" spans="2:12">
      <c r="B16" s="80">
        <v>13</v>
      </c>
      <c r="C16" s="85" t="s">
        <v>164</v>
      </c>
      <c r="D16" s="318">
        <v>3021924.34</v>
      </c>
      <c r="E16" s="87">
        <f>Cronogra!AE36</f>
        <v>1322963.5799999998</v>
      </c>
      <c r="F16" s="88">
        <v>1307565.04</v>
      </c>
      <c r="G16" s="89">
        <f t="shared" si="0"/>
        <v>15398.539999999804</v>
      </c>
      <c r="H16" s="90">
        <v>386792.28</v>
      </c>
      <c r="I16" s="90">
        <v>90450.45</v>
      </c>
      <c r="J16" s="90">
        <f>386792.28-385992.62</f>
        <v>799.6600000000326</v>
      </c>
      <c r="K16" s="90">
        <f>H16-(I16+J16)</f>
        <v>295542.17</v>
      </c>
      <c r="L16" s="77">
        <f>295542.17-K16</f>
        <v>0</v>
      </c>
    </row>
    <row r="17" spans="2:13">
      <c r="B17" s="80">
        <v>15</v>
      </c>
      <c r="C17" s="85" t="s">
        <v>165</v>
      </c>
      <c r="D17" s="86">
        <f>25810700.56</f>
        <v>25810700.559999999</v>
      </c>
      <c r="E17" s="87">
        <f>Cronogra!AE38</f>
        <v>11162076.5</v>
      </c>
      <c r="F17" s="88">
        <v>11154119.5</v>
      </c>
      <c r="G17" s="89">
        <f t="shared" si="0"/>
        <v>7957</v>
      </c>
      <c r="H17" s="90">
        <v>33584.9</v>
      </c>
      <c r="I17" s="90">
        <v>654</v>
      </c>
      <c r="J17" s="90">
        <f>33584.9-33584.9</f>
        <v>0</v>
      </c>
      <c r="K17" s="90">
        <f t="shared" si="1"/>
        <v>32930.9</v>
      </c>
      <c r="L17" s="77">
        <f>32930.9-K17</f>
        <v>0</v>
      </c>
    </row>
    <row r="18" spans="2:13">
      <c r="B18" s="80">
        <v>16</v>
      </c>
      <c r="C18" s="85" t="s">
        <v>166</v>
      </c>
      <c r="D18" s="86">
        <f>4416737.33</f>
        <v>4416737.33</v>
      </c>
      <c r="E18" s="87">
        <f>Cronogra!AE39</f>
        <v>3076458.77</v>
      </c>
      <c r="F18" s="88">
        <v>3017792.21</v>
      </c>
      <c r="G18" s="89">
        <f t="shared" si="0"/>
        <v>58666.560000000056</v>
      </c>
      <c r="H18" s="90">
        <v>49278.400000000001</v>
      </c>
      <c r="I18" s="90">
        <v>49278.400000000001</v>
      </c>
      <c r="J18" s="90">
        <f>49278.4-49278.4</f>
        <v>0</v>
      </c>
      <c r="K18" s="90">
        <f>H18-I18</f>
        <v>0</v>
      </c>
      <c r="L18" s="77"/>
    </row>
    <row r="19" spans="2:13">
      <c r="B19" s="1"/>
      <c r="C19" s="1"/>
      <c r="D19" s="816">
        <f t="shared" ref="D19:G19" si="2">SUM(D4:D18)</f>
        <v>146618705.48000002</v>
      </c>
      <c r="E19" s="817">
        <f>SUM(E4:E18)</f>
        <v>62521743.790000007</v>
      </c>
      <c r="F19" s="817">
        <f t="shared" si="2"/>
        <v>58396881.510000005</v>
      </c>
      <c r="G19" s="817">
        <f t="shared" si="2"/>
        <v>4124862.2800000026</v>
      </c>
      <c r="H19" s="817">
        <f>SUM(H4:H18)</f>
        <v>29392042.859999999</v>
      </c>
      <c r="I19" s="817">
        <f>SUM(I4:I18)</f>
        <v>6605764.0900000008</v>
      </c>
      <c r="J19" s="817">
        <f>SUM(J4:J18)</f>
        <v>1731688.1799999988</v>
      </c>
      <c r="K19" s="817">
        <f>SUM(K4:K18)</f>
        <v>21152569.810000002</v>
      </c>
      <c r="L19" s="77">
        <f>21017199.93-K19</f>
        <v>-135369.88000000268</v>
      </c>
    </row>
    <row r="20" spans="2:13">
      <c r="B20" s="5" t="s">
        <v>2720</v>
      </c>
      <c r="C20" s="818"/>
      <c r="D20" s="819">
        <f>D19+Cruz!I24-Cruz!I27</f>
        <v>0</v>
      </c>
      <c r="E20" s="88">
        <f>62521743.79-E19</f>
        <v>0</v>
      </c>
      <c r="F20" s="88">
        <f>58396881.51-F19</f>
        <v>0</v>
      </c>
      <c r="G20" s="88">
        <f>4124862.28-G19</f>
        <v>0</v>
      </c>
      <c r="H20" s="90">
        <f>H19-(29440639.33)</f>
        <v>-48596.469999998808</v>
      </c>
      <c r="I20" s="90">
        <f>6690599.37-I19</f>
        <v>84835.279999999329</v>
      </c>
      <c r="J20" s="820">
        <f>(29440639.33-27707799.3)-J19</f>
        <v>1151.8499999986961</v>
      </c>
      <c r="K20" s="820">
        <f>21017199.93-K19</f>
        <v>-135369.88000000268</v>
      </c>
      <c r="M20" s="78"/>
    </row>
    <row r="21" spans="2:13">
      <c r="C21" s="92" t="s">
        <v>1281</v>
      </c>
      <c r="F21" s="93"/>
      <c r="G21" s="71"/>
      <c r="H21" s="78"/>
      <c r="I21" s="94"/>
      <c r="J21" s="78"/>
      <c r="K21" s="78"/>
    </row>
    <row r="22" spans="2:13">
      <c r="C22" s="95"/>
      <c r="F22" s="93"/>
      <c r="G22" s="71"/>
      <c r="H22" s="78"/>
      <c r="I22" s="78"/>
      <c r="J22" s="78"/>
      <c r="K22" s="78"/>
    </row>
    <row r="23" spans="2:13">
      <c r="D23" s="96" t="s">
        <v>541</v>
      </c>
      <c r="E23" s="390" t="s">
        <v>542</v>
      </c>
      <c r="F23" s="97" t="s">
        <v>543</v>
      </c>
      <c r="G23" s="391" t="s">
        <v>544</v>
      </c>
      <c r="H23" s="69" t="s">
        <v>545</v>
      </c>
    </row>
    <row r="24" spans="2:13">
      <c r="C24" s="98" t="s">
        <v>168</v>
      </c>
      <c r="D24" s="99">
        <f>Cruz!H16</f>
        <v>52151146.729999997</v>
      </c>
      <c r="E24" s="18">
        <f>SUM(E4:E16)</f>
        <v>48283208.520000003</v>
      </c>
      <c r="F24" s="18">
        <f>SUM(F4:F16)</f>
        <v>44224969.800000004</v>
      </c>
      <c r="G24" s="89">
        <f>D24-F24</f>
        <v>7926176.9299999923</v>
      </c>
      <c r="H24" s="89">
        <f>E24-F24</f>
        <v>4058238.7199999988</v>
      </c>
    </row>
    <row r="25" spans="2:13">
      <c r="C25" s="98" t="s">
        <v>165</v>
      </c>
      <c r="D25" s="100">
        <f>Cruz!H25</f>
        <v>15316055.800000001</v>
      </c>
      <c r="E25" s="89">
        <f>E17</f>
        <v>11162076.5</v>
      </c>
      <c r="F25" s="89">
        <f>F17</f>
        <v>11154119.5</v>
      </c>
      <c r="G25" s="89">
        <f>D25-F25</f>
        <v>4161936.3000000007</v>
      </c>
      <c r="H25" s="89">
        <f>E25-F25</f>
        <v>7957</v>
      </c>
    </row>
    <row r="26" spans="2:13">
      <c r="C26" s="98" t="s">
        <v>166</v>
      </c>
      <c r="D26" s="219">
        <f>Cruz!H26</f>
        <v>2316789.7000000002</v>
      </c>
      <c r="E26" s="89">
        <f>E18</f>
        <v>3076458.77</v>
      </c>
      <c r="F26" s="89">
        <f>F18</f>
        <v>3017792.21</v>
      </c>
      <c r="G26" s="89">
        <f>D26-F26</f>
        <v>-701002.50999999978</v>
      </c>
      <c r="H26" s="89">
        <f>E26-F26</f>
        <v>58666.560000000056</v>
      </c>
    </row>
    <row r="27" spans="2:13">
      <c r="C27" s="98" t="s">
        <v>169</v>
      </c>
      <c r="D27" s="101">
        <f>SUM(D24:D26)</f>
        <v>69783992.230000004</v>
      </c>
      <c r="E27" s="101">
        <f>SUM(E24:E26)</f>
        <v>62521743.790000007</v>
      </c>
      <c r="F27" s="101">
        <f>SUM(F24:F26)</f>
        <v>58396881.510000005</v>
      </c>
      <c r="G27" s="101">
        <f>SUM(G24:G26)</f>
        <v>11387110.719999993</v>
      </c>
      <c r="H27" s="101">
        <f>SUM(H24:H26)</f>
        <v>4124862.2799999989</v>
      </c>
    </row>
  </sheetData>
  <mergeCells count="1">
    <mergeCell ref="H2:K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3:Y50"/>
  <sheetViews>
    <sheetView workbookViewId="0">
      <selection activeCell="I54" sqref="I54"/>
    </sheetView>
  </sheetViews>
  <sheetFormatPr defaultRowHeight="8.25"/>
  <cols>
    <col min="1" max="1" width="11" style="62" customWidth="1"/>
    <col min="2" max="2" width="9.42578125" style="62" customWidth="1"/>
    <col min="3" max="3" width="11.140625" style="62" customWidth="1"/>
    <col min="4" max="4" width="10.140625" style="62" customWidth="1"/>
    <col min="5" max="5" width="10.28515625" style="62" customWidth="1"/>
    <col min="6" max="6" width="10.85546875" style="62" bestFit="1" customWidth="1"/>
    <col min="7" max="7" width="11.28515625" style="62" bestFit="1" customWidth="1"/>
    <col min="8" max="8" width="9.140625" style="62" bestFit="1" customWidth="1"/>
    <col min="9" max="9" width="11" style="62" customWidth="1"/>
    <col min="10" max="10" width="10.28515625" style="62" customWidth="1"/>
    <col min="11" max="12" width="9.140625" style="62"/>
    <col min="13" max="13" width="10.140625" style="62" customWidth="1"/>
    <col min="14" max="16" width="10" style="62" bestFit="1" customWidth="1"/>
    <col min="17" max="256" width="9.140625" style="62"/>
    <col min="257" max="257" width="11" style="62" customWidth="1"/>
    <col min="258" max="258" width="8.42578125" style="62" customWidth="1"/>
    <col min="259" max="259" width="11.140625" style="62" customWidth="1"/>
    <col min="260" max="260" width="10.140625" style="62" customWidth="1"/>
    <col min="261" max="261" width="10.28515625" style="62" customWidth="1"/>
    <col min="262" max="262" width="10.85546875" style="62" bestFit="1" customWidth="1"/>
    <col min="263" max="263" width="11.28515625" style="62" bestFit="1" customWidth="1"/>
    <col min="264" max="264" width="9.140625" style="62" bestFit="1" customWidth="1"/>
    <col min="265" max="265" width="11" style="62" customWidth="1"/>
    <col min="266" max="266" width="10.28515625" style="62" customWidth="1"/>
    <col min="267" max="268" width="9.140625" style="62"/>
    <col min="269" max="269" width="10.140625" style="62" customWidth="1"/>
    <col min="270" max="272" width="10" style="62" bestFit="1" customWidth="1"/>
    <col min="273" max="512" width="9.140625" style="62"/>
    <col min="513" max="513" width="11" style="62" customWidth="1"/>
    <col min="514" max="514" width="8.42578125" style="62" customWidth="1"/>
    <col min="515" max="515" width="11.140625" style="62" customWidth="1"/>
    <col min="516" max="516" width="10.140625" style="62" customWidth="1"/>
    <col min="517" max="517" width="10.28515625" style="62" customWidth="1"/>
    <col min="518" max="518" width="10.85546875" style="62" bestFit="1" customWidth="1"/>
    <col min="519" max="519" width="11.28515625" style="62" bestFit="1" customWidth="1"/>
    <col min="520" max="520" width="9.140625" style="62" bestFit="1" customWidth="1"/>
    <col min="521" max="521" width="11" style="62" customWidth="1"/>
    <col min="522" max="522" width="10.28515625" style="62" customWidth="1"/>
    <col min="523" max="524" width="9.140625" style="62"/>
    <col min="525" max="525" width="10.140625" style="62" customWidth="1"/>
    <col min="526" max="528" width="10" style="62" bestFit="1" customWidth="1"/>
    <col min="529" max="768" width="9.140625" style="62"/>
    <col min="769" max="769" width="11" style="62" customWidth="1"/>
    <col min="770" max="770" width="8.42578125" style="62" customWidth="1"/>
    <col min="771" max="771" width="11.140625" style="62" customWidth="1"/>
    <col min="772" max="772" width="10.140625" style="62" customWidth="1"/>
    <col min="773" max="773" width="10.28515625" style="62" customWidth="1"/>
    <col min="774" max="774" width="10.85546875" style="62" bestFit="1" customWidth="1"/>
    <col min="775" max="775" width="11.28515625" style="62" bestFit="1" customWidth="1"/>
    <col min="776" max="776" width="9.140625" style="62" bestFit="1" customWidth="1"/>
    <col min="777" max="777" width="11" style="62" customWidth="1"/>
    <col min="778" max="778" width="10.28515625" style="62" customWidth="1"/>
    <col min="779" max="780" width="9.140625" style="62"/>
    <col min="781" max="781" width="10.140625" style="62" customWidth="1"/>
    <col min="782" max="784" width="10" style="62" bestFit="1" customWidth="1"/>
    <col min="785" max="1024" width="9.140625" style="62"/>
    <col min="1025" max="1025" width="11" style="62" customWidth="1"/>
    <col min="1026" max="1026" width="8.42578125" style="62" customWidth="1"/>
    <col min="1027" max="1027" width="11.140625" style="62" customWidth="1"/>
    <col min="1028" max="1028" width="10.140625" style="62" customWidth="1"/>
    <col min="1029" max="1029" width="10.28515625" style="62" customWidth="1"/>
    <col min="1030" max="1030" width="10.85546875" style="62" bestFit="1" customWidth="1"/>
    <col min="1031" max="1031" width="11.28515625" style="62" bestFit="1" customWidth="1"/>
    <col min="1032" max="1032" width="9.140625" style="62" bestFit="1" customWidth="1"/>
    <col min="1033" max="1033" width="11" style="62" customWidth="1"/>
    <col min="1034" max="1034" width="10.28515625" style="62" customWidth="1"/>
    <col min="1035" max="1036" width="9.140625" style="62"/>
    <col min="1037" max="1037" width="10.140625" style="62" customWidth="1"/>
    <col min="1038" max="1040" width="10" style="62" bestFit="1" customWidth="1"/>
    <col min="1041" max="1280" width="9.140625" style="62"/>
    <col min="1281" max="1281" width="11" style="62" customWidth="1"/>
    <col min="1282" max="1282" width="8.42578125" style="62" customWidth="1"/>
    <col min="1283" max="1283" width="11.140625" style="62" customWidth="1"/>
    <col min="1284" max="1284" width="10.140625" style="62" customWidth="1"/>
    <col min="1285" max="1285" width="10.28515625" style="62" customWidth="1"/>
    <col min="1286" max="1286" width="10.85546875" style="62" bestFit="1" customWidth="1"/>
    <col min="1287" max="1287" width="11.28515625" style="62" bestFit="1" customWidth="1"/>
    <col min="1288" max="1288" width="9.140625" style="62" bestFit="1" customWidth="1"/>
    <col min="1289" max="1289" width="11" style="62" customWidth="1"/>
    <col min="1290" max="1290" width="10.28515625" style="62" customWidth="1"/>
    <col min="1291" max="1292" width="9.140625" style="62"/>
    <col min="1293" max="1293" width="10.140625" style="62" customWidth="1"/>
    <col min="1294" max="1296" width="10" style="62" bestFit="1" customWidth="1"/>
    <col min="1297" max="1536" width="9.140625" style="62"/>
    <col min="1537" max="1537" width="11" style="62" customWidth="1"/>
    <col min="1538" max="1538" width="8.42578125" style="62" customWidth="1"/>
    <col min="1539" max="1539" width="11.140625" style="62" customWidth="1"/>
    <col min="1540" max="1540" width="10.140625" style="62" customWidth="1"/>
    <col min="1541" max="1541" width="10.28515625" style="62" customWidth="1"/>
    <col min="1542" max="1542" width="10.85546875" style="62" bestFit="1" customWidth="1"/>
    <col min="1543" max="1543" width="11.28515625" style="62" bestFit="1" customWidth="1"/>
    <col min="1544" max="1544" width="9.140625" style="62" bestFit="1" customWidth="1"/>
    <col min="1545" max="1545" width="11" style="62" customWidth="1"/>
    <col min="1546" max="1546" width="10.28515625" style="62" customWidth="1"/>
    <col min="1547" max="1548" width="9.140625" style="62"/>
    <col min="1549" max="1549" width="10.140625" style="62" customWidth="1"/>
    <col min="1550" max="1552" width="10" style="62" bestFit="1" customWidth="1"/>
    <col min="1553" max="1792" width="9.140625" style="62"/>
    <col min="1793" max="1793" width="11" style="62" customWidth="1"/>
    <col min="1794" max="1794" width="8.42578125" style="62" customWidth="1"/>
    <col min="1795" max="1795" width="11.140625" style="62" customWidth="1"/>
    <col min="1796" max="1796" width="10.140625" style="62" customWidth="1"/>
    <col min="1797" max="1797" width="10.28515625" style="62" customWidth="1"/>
    <col min="1798" max="1798" width="10.85546875" style="62" bestFit="1" customWidth="1"/>
    <col min="1799" max="1799" width="11.28515625" style="62" bestFit="1" customWidth="1"/>
    <col min="1800" max="1800" width="9.140625" style="62" bestFit="1" customWidth="1"/>
    <col min="1801" max="1801" width="11" style="62" customWidth="1"/>
    <col min="1802" max="1802" width="10.28515625" style="62" customWidth="1"/>
    <col min="1803" max="1804" width="9.140625" style="62"/>
    <col min="1805" max="1805" width="10.140625" style="62" customWidth="1"/>
    <col min="1806" max="1808" width="10" style="62" bestFit="1" customWidth="1"/>
    <col min="1809" max="2048" width="9.140625" style="62"/>
    <col min="2049" max="2049" width="11" style="62" customWidth="1"/>
    <col min="2050" max="2050" width="8.42578125" style="62" customWidth="1"/>
    <col min="2051" max="2051" width="11.140625" style="62" customWidth="1"/>
    <col min="2052" max="2052" width="10.140625" style="62" customWidth="1"/>
    <col min="2053" max="2053" width="10.28515625" style="62" customWidth="1"/>
    <col min="2054" max="2054" width="10.85546875" style="62" bestFit="1" customWidth="1"/>
    <col min="2055" max="2055" width="11.28515625" style="62" bestFit="1" customWidth="1"/>
    <col min="2056" max="2056" width="9.140625" style="62" bestFit="1" customWidth="1"/>
    <col min="2057" max="2057" width="11" style="62" customWidth="1"/>
    <col min="2058" max="2058" width="10.28515625" style="62" customWidth="1"/>
    <col min="2059" max="2060" width="9.140625" style="62"/>
    <col min="2061" max="2061" width="10.140625" style="62" customWidth="1"/>
    <col min="2062" max="2064" width="10" style="62" bestFit="1" customWidth="1"/>
    <col min="2065" max="2304" width="9.140625" style="62"/>
    <col min="2305" max="2305" width="11" style="62" customWidth="1"/>
    <col min="2306" max="2306" width="8.42578125" style="62" customWidth="1"/>
    <col min="2307" max="2307" width="11.140625" style="62" customWidth="1"/>
    <col min="2308" max="2308" width="10.140625" style="62" customWidth="1"/>
    <col min="2309" max="2309" width="10.28515625" style="62" customWidth="1"/>
    <col min="2310" max="2310" width="10.85546875" style="62" bestFit="1" customWidth="1"/>
    <col min="2311" max="2311" width="11.28515625" style="62" bestFit="1" customWidth="1"/>
    <col min="2312" max="2312" width="9.140625" style="62" bestFit="1" customWidth="1"/>
    <col min="2313" max="2313" width="11" style="62" customWidth="1"/>
    <col min="2314" max="2314" width="10.28515625" style="62" customWidth="1"/>
    <col min="2315" max="2316" width="9.140625" style="62"/>
    <col min="2317" max="2317" width="10.140625" style="62" customWidth="1"/>
    <col min="2318" max="2320" width="10" style="62" bestFit="1" customWidth="1"/>
    <col min="2321" max="2560" width="9.140625" style="62"/>
    <col min="2561" max="2561" width="11" style="62" customWidth="1"/>
    <col min="2562" max="2562" width="8.42578125" style="62" customWidth="1"/>
    <col min="2563" max="2563" width="11.140625" style="62" customWidth="1"/>
    <col min="2564" max="2564" width="10.140625" style="62" customWidth="1"/>
    <col min="2565" max="2565" width="10.28515625" style="62" customWidth="1"/>
    <col min="2566" max="2566" width="10.85546875" style="62" bestFit="1" customWidth="1"/>
    <col min="2567" max="2567" width="11.28515625" style="62" bestFit="1" customWidth="1"/>
    <col min="2568" max="2568" width="9.140625" style="62" bestFit="1" customWidth="1"/>
    <col min="2569" max="2569" width="11" style="62" customWidth="1"/>
    <col min="2570" max="2570" width="10.28515625" style="62" customWidth="1"/>
    <col min="2571" max="2572" width="9.140625" style="62"/>
    <col min="2573" max="2573" width="10.140625" style="62" customWidth="1"/>
    <col min="2574" max="2576" width="10" style="62" bestFit="1" customWidth="1"/>
    <col min="2577" max="2816" width="9.140625" style="62"/>
    <col min="2817" max="2817" width="11" style="62" customWidth="1"/>
    <col min="2818" max="2818" width="8.42578125" style="62" customWidth="1"/>
    <col min="2819" max="2819" width="11.140625" style="62" customWidth="1"/>
    <col min="2820" max="2820" width="10.140625" style="62" customWidth="1"/>
    <col min="2821" max="2821" width="10.28515625" style="62" customWidth="1"/>
    <col min="2822" max="2822" width="10.85546875" style="62" bestFit="1" customWidth="1"/>
    <col min="2823" max="2823" width="11.28515625" style="62" bestFit="1" customWidth="1"/>
    <col min="2824" max="2824" width="9.140625" style="62" bestFit="1" customWidth="1"/>
    <col min="2825" max="2825" width="11" style="62" customWidth="1"/>
    <col min="2826" max="2826" width="10.28515625" style="62" customWidth="1"/>
    <col min="2827" max="2828" width="9.140625" style="62"/>
    <col min="2829" max="2829" width="10.140625" style="62" customWidth="1"/>
    <col min="2830" max="2832" width="10" style="62" bestFit="1" customWidth="1"/>
    <col min="2833" max="3072" width="9.140625" style="62"/>
    <col min="3073" max="3073" width="11" style="62" customWidth="1"/>
    <col min="3074" max="3074" width="8.42578125" style="62" customWidth="1"/>
    <col min="3075" max="3075" width="11.140625" style="62" customWidth="1"/>
    <col min="3076" max="3076" width="10.140625" style="62" customWidth="1"/>
    <col min="3077" max="3077" width="10.28515625" style="62" customWidth="1"/>
    <col min="3078" max="3078" width="10.85546875" style="62" bestFit="1" customWidth="1"/>
    <col min="3079" max="3079" width="11.28515625" style="62" bestFit="1" customWidth="1"/>
    <col min="3080" max="3080" width="9.140625" style="62" bestFit="1" customWidth="1"/>
    <col min="3081" max="3081" width="11" style="62" customWidth="1"/>
    <col min="3082" max="3082" width="10.28515625" style="62" customWidth="1"/>
    <col min="3083" max="3084" width="9.140625" style="62"/>
    <col min="3085" max="3085" width="10.140625" style="62" customWidth="1"/>
    <col min="3086" max="3088" width="10" style="62" bestFit="1" customWidth="1"/>
    <col min="3089" max="3328" width="9.140625" style="62"/>
    <col min="3329" max="3329" width="11" style="62" customWidth="1"/>
    <col min="3330" max="3330" width="8.42578125" style="62" customWidth="1"/>
    <col min="3331" max="3331" width="11.140625" style="62" customWidth="1"/>
    <col min="3332" max="3332" width="10.140625" style="62" customWidth="1"/>
    <col min="3333" max="3333" width="10.28515625" style="62" customWidth="1"/>
    <col min="3334" max="3334" width="10.85546875" style="62" bestFit="1" customWidth="1"/>
    <col min="3335" max="3335" width="11.28515625" style="62" bestFit="1" customWidth="1"/>
    <col min="3336" max="3336" width="9.140625" style="62" bestFit="1" customWidth="1"/>
    <col min="3337" max="3337" width="11" style="62" customWidth="1"/>
    <col min="3338" max="3338" width="10.28515625" style="62" customWidth="1"/>
    <col min="3339" max="3340" width="9.140625" style="62"/>
    <col min="3341" max="3341" width="10.140625" style="62" customWidth="1"/>
    <col min="3342" max="3344" width="10" style="62" bestFit="1" customWidth="1"/>
    <col min="3345" max="3584" width="9.140625" style="62"/>
    <col min="3585" max="3585" width="11" style="62" customWidth="1"/>
    <col min="3586" max="3586" width="8.42578125" style="62" customWidth="1"/>
    <col min="3587" max="3587" width="11.140625" style="62" customWidth="1"/>
    <col min="3588" max="3588" width="10.140625" style="62" customWidth="1"/>
    <col min="3589" max="3589" width="10.28515625" style="62" customWidth="1"/>
    <col min="3590" max="3590" width="10.85546875" style="62" bestFit="1" customWidth="1"/>
    <col min="3591" max="3591" width="11.28515625" style="62" bestFit="1" customWidth="1"/>
    <col min="3592" max="3592" width="9.140625" style="62" bestFit="1" customWidth="1"/>
    <col min="3593" max="3593" width="11" style="62" customWidth="1"/>
    <col min="3594" max="3594" width="10.28515625" style="62" customWidth="1"/>
    <col min="3595" max="3596" width="9.140625" style="62"/>
    <col min="3597" max="3597" width="10.140625" style="62" customWidth="1"/>
    <col min="3598" max="3600" width="10" style="62" bestFit="1" customWidth="1"/>
    <col min="3601" max="3840" width="9.140625" style="62"/>
    <col min="3841" max="3841" width="11" style="62" customWidth="1"/>
    <col min="3842" max="3842" width="8.42578125" style="62" customWidth="1"/>
    <col min="3843" max="3843" width="11.140625" style="62" customWidth="1"/>
    <col min="3844" max="3844" width="10.140625" style="62" customWidth="1"/>
    <col min="3845" max="3845" width="10.28515625" style="62" customWidth="1"/>
    <col min="3846" max="3846" width="10.85546875" style="62" bestFit="1" customWidth="1"/>
    <col min="3847" max="3847" width="11.28515625" style="62" bestFit="1" customWidth="1"/>
    <col min="3848" max="3848" width="9.140625" style="62" bestFit="1" customWidth="1"/>
    <col min="3849" max="3849" width="11" style="62" customWidth="1"/>
    <col min="3850" max="3850" width="10.28515625" style="62" customWidth="1"/>
    <col min="3851" max="3852" width="9.140625" style="62"/>
    <col min="3853" max="3853" width="10.140625" style="62" customWidth="1"/>
    <col min="3854" max="3856" width="10" style="62" bestFit="1" customWidth="1"/>
    <col min="3857" max="4096" width="9.140625" style="62"/>
    <col min="4097" max="4097" width="11" style="62" customWidth="1"/>
    <col min="4098" max="4098" width="8.42578125" style="62" customWidth="1"/>
    <col min="4099" max="4099" width="11.140625" style="62" customWidth="1"/>
    <col min="4100" max="4100" width="10.140625" style="62" customWidth="1"/>
    <col min="4101" max="4101" width="10.28515625" style="62" customWidth="1"/>
    <col min="4102" max="4102" width="10.85546875" style="62" bestFit="1" customWidth="1"/>
    <col min="4103" max="4103" width="11.28515625" style="62" bestFit="1" customWidth="1"/>
    <col min="4104" max="4104" width="9.140625" style="62" bestFit="1" customWidth="1"/>
    <col min="4105" max="4105" width="11" style="62" customWidth="1"/>
    <col min="4106" max="4106" width="10.28515625" style="62" customWidth="1"/>
    <col min="4107" max="4108" width="9.140625" style="62"/>
    <col min="4109" max="4109" width="10.140625" style="62" customWidth="1"/>
    <col min="4110" max="4112" width="10" style="62" bestFit="1" customWidth="1"/>
    <col min="4113" max="4352" width="9.140625" style="62"/>
    <col min="4353" max="4353" width="11" style="62" customWidth="1"/>
    <col min="4354" max="4354" width="8.42578125" style="62" customWidth="1"/>
    <col min="4355" max="4355" width="11.140625" style="62" customWidth="1"/>
    <col min="4356" max="4356" width="10.140625" style="62" customWidth="1"/>
    <col min="4357" max="4357" width="10.28515625" style="62" customWidth="1"/>
    <col min="4358" max="4358" width="10.85546875" style="62" bestFit="1" customWidth="1"/>
    <col min="4359" max="4359" width="11.28515625" style="62" bestFit="1" customWidth="1"/>
    <col min="4360" max="4360" width="9.140625" style="62" bestFit="1" customWidth="1"/>
    <col min="4361" max="4361" width="11" style="62" customWidth="1"/>
    <col min="4362" max="4362" width="10.28515625" style="62" customWidth="1"/>
    <col min="4363" max="4364" width="9.140625" style="62"/>
    <col min="4365" max="4365" width="10.140625" style="62" customWidth="1"/>
    <col min="4366" max="4368" width="10" style="62" bestFit="1" customWidth="1"/>
    <col min="4369" max="4608" width="9.140625" style="62"/>
    <col min="4609" max="4609" width="11" style="62" customWidth="1"/>
    <col min="4610" max="4610" width="8.42578125" style="62" customWidth="1"/>
    <col min="4611" max="4611" width="11.140625" style="62" customWidth="1"/>
    <col min="4612" max="4612" width="10.140625" style="62" customWidth="1"/>
    <col min="4613" max="4613" width="10.28515625" style="62" customWidth="1"/>
    <col min="4614" max="4614" width="10.85546875" style="62" bestFit="1" customWidth="1"/>
    <col min="4615" max="4615" width="11.28515625" style="62" bestFit="1" customWidth="1"/>
    <col min="4616" max="4616" width="9.140625" style="62" bestFit="1" customWidth="1"/>
    <col min="4617" max="4617" width="11" style="62" customWidth="1"/>
    <col min="4618" max="4618" width="10.28515625" style="62" customWidth="1"/>
    <col min="4619" max="4620" width="9.140625" style="62"/>
    <col min="4621" max="4621" width="10.140625" style="62" customWidth="1"/>
    <col min="4622" max="4624" width="10" style="62" bestFit="1" customWidth="1"/>
    <col min="4625" max="4864" width="9.140625" style="62"/>
    <col min="4865" max="4865" width="11" style="62" customWidth="1"/>
    <col min="4866" max="4866" width="8.42578125" style="62" customWidth="1"/>
    <col min="4867" max="4867" width="11.140625" style="62" customWidth="1"/>
    <col min="4868" max="4868" width="10.140625" style="62" customWidth="1"/>
    <col min="4869" max="4869" width="10.28515625" style="62" customWidth="1"/>
    <col min="4870" max="4870" width="10.85546875" style="62" bestFit="1" customWidth="1"/>
    <col min="4871" max="4871" width="11.28515625" style="62" bestFit="1" customWidth="1"/>
    <col min="4872" max="4872" width="9.140625" style="62" bestFit="1" customWidth="1"/>
    <col min="4873" max="4873" width="11" style="62" customWidth="1"/>
    <col min="4874" max="4874" width="10.28515625" style="62" customWidth="1"/>
    <col min="4875" max="4876" width="9.140625" style="62"/>
    <col min="4877" max="4877" width="10.140625" style="62" customWidth="1"/>
    <col min="4878" max="4880" width="10" style="62" bestFit="1" customWidth="1"/>
    <col min="4881" max="5120" width="9.140625" style="62"/>
    <col min="5121" max="5121" width="11" style="62" customWidth="1"/>
    <col min="5122" max="5122" width="8.42578125" style="62" customWidth="1"/>
    <col min="5123" max="5123" width="11.140625" style="62" customWidth="1"/>
    <col min="5124" max="5124" width="10.140625" style="62" customWidth="1"/>
    <col min="5125" max="5125" width="10.28515625" style="62" customWidth="1"/>
    <col min="5126" max="5126" width="10.85546875" style="62" bestFit="1" customWidth="1"/>
    <col min="5127" max="5127" width="11.28515625" style="62" bestFit="1" customWidth="1"/>
    <col min="5128" max="5128" width="9.140625" style="62" bestFit="1" customWidth="1"/>
    <col min="5129" max="5129" width="11" style="62" customWidth="1"/>
    <col min="5130" max="5130" width="10.28515625" style="62" customWidth="1"/>
    <col min="5131" max="5132" width="9.140625" style="62"/>
    <col min="5133" max="5133" width="10.140625" style="62" customWidth="1"/>
    <col min="5134" max="5136" width="10" style="62" bestFit="1" customWidth="1"/>
    <col min="5137" max="5376" width="9.140625" style="62"/>
    <col min="5377" max="5377" width="11" style="62" customWidth="1"/>
    <col min="5378" max="5378" width="8.42578125" style="62" customWidth="1"/>
    <col min="5379" max="5379" width="11.140625" style="62" customWidth="1"/>
    <col min="5380" max="5380" width="10.140625" style="62" customWidth="1"/>
    <col min="5381" max="5381" width="10.28515625" style="62" customWidth="1"/>
    <col min="5382" max="5382" width="10.85546875" style="62" bestFit="1" customWidth="1"/>
    <col min="5383" max="5383" width="11.28515625" style="62" bestFit="1" customWidth="1"/>
    <col min="5384" max="5384" width="9.140625" style="62" bestFit="1" customWidth="1"/>
    <col min="5385" max="5385" width="11" style="62" customWidth="1"/>
    <col min="5386" max="5386" width="10.28515625" style="62" customWidth="1"/>
    <col min="5387" max="5388" width="9.140625" style="62"/>
    <col min="5389" max="5389" width="10.140625" style="62" customWidth="1"/>
    <col min="5390" max="5392" width="10" style="62" bestFit="1" customWidth="1"/>
    <col min="5393" max="5632" width="9.140625" style="62"/>
    <col min="5633" max="5633" width="11" style="62" customWidth="1"/>
    <col min="5634" max="5634" width="8.42578125" style="62" customWidth="1"/>
    <col min="5635" max="5635" width="11.140625" style="62" customWidth="1"/>
    <col min="5636" max="5636" width="10.140625" style="62" customWidth="1"/>
    <col min="5637" max="5637" width="10.28515625" style="62" customWidth="1"/>
    <col min="5638" max="5638" width="10.85546875" style="62" bestFit="1" customWidth="1"/>
    <col min="5639" max="5639" width="11.28515625" style="62" bestFit="1" customWidth="1"/>
    <col min="5640" max="5640" width="9.140625" style="62" bestFit="1" customWidth="1"/>
    <col min="5641" max="5641" width="11" style="62" customWidth="1"/>
    <col min="5642" max="5642" width="10.28515625" style="62" customWidth="1"/>
    <col min="5643" max="5644" width="9.140625" style="62"/>
    <col min="5645" max="5645" width="10.140625" style="62" customWidth="1"/>
    <col min="5646" max="5648" width="10" style="62" bestFit="1" customWidth="1"/>
    <col min="5649" max="5888" width="9.140625" style="62"/>
    <col min="5889" max="5889" width="11" style="62" customWidth="1"/>
    <col min="5890" max="5890" width="8.42578125" style="62" customWidth="1"/>
    <col min="5891" max="5891" width="11.140625" style="62" customWidth="1"/>
    <col min="5892" max="5892" width="10.140625" style="62" customWidth="1"/>
    <col min="5893" max="5893" width="10.28515625" style="62" customWidth="1"/>
    <col min="5894" max="5894" width="10.85546875" style="62" bestFit="1" customWidth="1"/>
    <col min="5895" max="5895" width="11.28515625" style="62" bestFit="1" customWidth="1"/>
    <col min="5896" max="5896" width="9.140625" style="62" bestFit="1" customWidth="1"/>
    <col min="5897" max="5897" width="11" style="62" customWidth="1"/>
    <col min="5898" max="5898" width="10.28515625" style="62" customWidth="1"/>
    <col min="5899" max="5900" width="9.140625" style="62"/>
    <col min="5901" max="5901" width="10.140625" style="62" customWidth="1"/>
    <col min="5902" max="5904" width="10" style="62" bestFit="1" customWidth="1"/>
    <col min="5905" max="6144" width="9.140625" style="62"/>
    <col min="6145" max="6145" width="11" style="62" customWidth="1"/>
    <col min="6146" max="6146" width="8.42578125" style="62" customWidth="1"/>
    <col min="6147" max="6147" width="11.140625" style="62" customWidth="1"/>
    <col min="6148" max="6148" width="10.140625" style="62" customWidth="1"/>
    <col min="6149" max="6149" width="10.28515625" style="62" customWidth="1"/>
    <col min="6150" max="6150" width="10.85546875" style="62" bestFit="1" customWidth="1"/>
    <col min="6151" max="6151" width="11.28515625" style="62" bestFit="1" customWidth="1"/>
    <col min="6152" max="6152" width="9.140625" style="62" bestFit="1" customWidth="1"/>
    <col min="6153" max="6153" width="11" style="62" customWidth="1"/>
    <col min="6154" max="6154" width="10.28515625" style="62" customWidth="1"/>
    <col min="6155" max="6156" width="9.140625" style="62"/>
    <col min="6157" max="6157" width="10.140625" style="62" customWidth="1"/>
    <col min="6158" max="6160" width="10" style="62" bestFit="1" customWidth="1"/>
    <col min="6161" max="6400" width="9.140625" style="62"/>
    <col min="6401" max="6401" width="11" style="62" customWidth="1"/>
    <col min="6402" max="6402" width="8.42578125" style="62" customWidth="1"/>
    <col min="6403" max="6403" width="11.140625" style="62" customWidth="1"/>
    <col min="6404" max="6404" width="10.140625" style="62" customWidth="1"/>
    <col min="6405" max="6405" width="10.28515625" style="62" customWidth="1"/>
    <col min="6406" max="6406" width="10.85546875" style="62" bestFit="1" customWidth="1"/>
    <col min="6407" max="6407" width="11.28515625" style="62" bestFit="1" customWidth="1"/>
    <col min="6408" max="6408" width="9.140625" style="62" bestFit="1" customWidth="1"/>
    <col min="6409" max="6409" width="11" style="62" customWidth="1"/>
    <col min="6410" max="6410" width="10.28515625" style="62" customWidth="1"/>
    <col min="6411" max="6412" width="9.140625" style="62"/>
    <col min="6413" max="6413" width="10.140625" style="62" customWidth="1"/>
    <col min="6414" max="6416" width="10" style="62" bestFit="1" customWidth="1"/>
    <col min="6417" max="6656" width="9.140625" style="62"/>
    <col min="6657" max="6657" width="11" style="62" customWidth="1"/>
    <col min="6658" max="6658" width="8.42578125" style="62" customWidth="1"/>
    <col min="6659" max="6659" width="11.140625" style="62" customWidth="1"/>
    <col min="6660" max="6660" width="10.140625" style="62" customWidth="1"/>
    <col min="6661" max="6661" width="10.28515625" style="62" customWidth="1"/>
    <col min="6662" max="6662" width="10.85546875" style="62" bestFit="1" customWidth="1"/>
    <col min="6663" max="6663" width="11.28515625" style="62" bestFit="1" customWidth="1"/>
    <col min="6664" max="6664" width="9.140625" style="62" bestFit="1" customWidth="1"/>
    <col min="6665" max="6665" width="11" style="62" customWidth="1"/>
    <col min="6666" max="6666" width="10.28515625" style="62" customWidth="1"/>
    <col min="6667" max="6668" width="9.140625" style="62"/>
    <col min="6669" max="6669" width="10.140625" style="62" customWidth="1"/>
    <col min="6670" max="6672" width="10" style="62" bestFit="1" customWidth="1"/>
    <col min="6673" max="6912" width="9.140625" style="62"/>
    <col min="6913" max="6913" width="11" style="62" customWidth="1"/>
    <col min="6914" max="6914" width="8.42578125" style="62" customWidth="1"/>
    <col min="6915" max="6915" width="11.140625" style="62" customWidth="1"/>
    <col min="6916" max="6916" width="10.140625" style="62" customWidth="1"/>
    <col min="6917" max="6917" width="10.28515625" style="62" customWidth="1"/>
    <col min="6918" max="6918" width="10.85546875" style="62" bestFit="1" customWidth="1"/>
    <col min="6919" max="6919" width="11.28515625" style="62" bestFit="1" customWidth="1"/>
    <col min="6920" max="6920" width="9.140625" style="62" bestFit="1" customWidth="1"/>
    <col min="6921" max="6921" width="11" style="62" customWidth="1"/>
    <col min="6922" max="6922" width="10.28515625" style="62" customWidth="1"/>
    <col min="6923" max="6924" width="9.140625" style="62"/>
    <col min="6925" max="6925" width="10.140625" style="62" customWidth="1"/>
    <col min="6926" max="6928" width="10" style="62" bestFit="1" customWidth="1"/>
    <col min="6929" max="7168" width="9.140625" style="62"/>
    <col min="7169" max="7169" width="11" style="62" customWidth="1"/>
    <col min="7170" max="7170" width="8.42578125" style="62" customWidth="1"/>
    <col min="7171" max="7171" width="11.140625" style="62" customWidth="1"/>
    <col min="7172" max="7172" width="10.140625" style="62" customWidth="1"/>
    <col min="7173" max="7173" width="10.28515625" style="62" customWidth="1"/>
    <col min="7174" max="7174" width="10.85546875" style="62" bestFit="1" customWidth="1"/>
    <col min="7175" max="7175" width="11.28515625" style="62" bestFit="1" customWidth="1"/>
    <col min="7176" max="7176" width="9.140625" style="62" bestFit="1" customWidth="1"/>
    <col min="7177" max="7177" width="11" style="62" customWidth="1"/>
    <col min="7178" max="7178" width="10.28515625" style="62" customWidth="1"/>
    <col min="7179" max="7180" width="9.140625" style="62"/>
    <col min="7181" max="7181" width="10.140625" style="62" customWidth="1"/>
    <col min="7182" max="7184" width="10" style="62" bestFit="1" customWidth="1"/>
    <col min="7185" max="7424" width="9.140625" style="62"/>
    <col min="7425" max="7425" width="11" style="62" customWidth="1"/>
    <col min="7426" max="7426" width="8.42578125" style="62" customWidth="1"/>
    <col min="7427" max="7427" width="11.140625" style="62" customWidth="1"/>
    <col min="7428" max="7428" width="10.140625" style="62" customWidth="1"/>
    <col min="7429" max="7429" width="10.28515625" style="62" customWidth="1"/>
    <col min="7430" max="7430" width="10.85546875" style="62" bestFit="1" customWidth="1"/>
    <col min="7431" max="7431" width="11.28515625" style="62" bestFit="1" customWidth="1"/>
    <col min="7432" max="7432" width="9.140625" style="62" bestFit="1" customWidth="1"/>
    <col min="7433" max="7433" width="11" style="62" customWidth="1"/>
    <col min="7434" max="7434" width="10.28515625" style="62" customWidth="1"/>
    <col min="7435" max="7436" width="9.140625" style="62"/>
    <col min="7437" max="7437" width="10.140625" style="62" customWidth="1"/>
    <col min="7438" max="7440" width="10" style="62" bestFit="1" customWidth="1"/>
    <col min="7441" max="7680" width="9.140625" style="62"/>
    <col min="7681" max="7681" width="11" style="62" customWidth="1"/>
    <col min="7682" max="7682" width="8.42578125" style="62" customWidth="1"/>
    <col min="7683" max="7683" width="11.140625" style="62" customWidth="1"/>
    <col min="7684" max="7684" width="10.140625" style="62" customWidth="1"/>
    <col min="7685" max="7685" width="10.28515625" style="62" customWidth="1"/>
    <col min="7686" max="7686" width="10.85546875" style="62" bestFit="1" customWidth="1"/>
    <col min="7687" max="7687" width="11.28515625" style="62" bestFit="1" customWidth="1"/>
    <col min="7688" max="7688" width="9.140625" style="62" bestFit="1" customWidth="1"/>
    <col min="7689" max="7689" width="11" style="62" customWidth="1"/>
    <col min="7690" max="7690" width="10.28515625" style="62" customWidth="1"/>
    <col min="7691" max="7692" width="9.140625" style="62"/>
    <col min="7693" max="7693" width="10.140625" style="62" customWidth="1"/>
    <col min="7694" max="7696" width="10" style="62" bestFit="1" customWidth="1"/>
    <col min="7697" max="7936" width="9.140625" style="62"/>
    <col min="7937" max="7937" width="11" style="62" customWidth="1"/>
    <col min="7938" max="7938" width="8.42578125" style="62" customWidth="1"/>
    <col min="7939" max="7939" width="11.140625" style="62" customWidth="1"/>
    <col min="7940" max="7940" width="10.140625" style="62" customWidth="1"/>
    <col min="7941" max="7941" width="10.28515625" style="62" customWidth="1"/>
    <col min="7942" max="7942" width="10.85546875" style="62" bestFit="1" customWidth="1"/>
    <col min="7943" max="7943" width="11.28515625" style="62" bestFit="1" customWidth="1"/>
    <col min="7944" max="7944" width="9.140625" style="62" bestFit="1" customWidth="1"/>
    <col min="7945" max="7945" width="11" style="62" customWidth="1"/>
    <col min="7946" max="7946" width="10.28515625" style="62" customWidth="1"/>
    <col min="7947" max="7948" width="9.140625" style="62"/>
    <col min="7949" max="7949" width="10.140625" style="62" customWidth="1"/>
    <col min="7950" max="7952" width="10" style="62" bestFit="1" customWidth="1"/>
    <col min="7953" max="8192" width="9.140625" style="62"/>
    <col min="8193" max="8193" width="11" style="62" customWidth="1"/>
    <col min="8194" max="8194" width="8.42578125" style="62" customWidth="1"/>
    <col min="8195" max="8195" width="11.140625" style="62" customWidth="1"/>
    <col min="8196" max="8196" width="10.140625" style="62" customWidth="1"/>
    <col min="8197" max="8197" width="10.28515625" style="62" customWidth="1"/>
    <col min="8198" max="8198" width="10.85546875" style="62" bestFit="1" customWidth="1"/>
    <col min="8199" max="8199" width="11.28515625" style="62" bestFit="1" customWidth="1"/>
    <col min="8200" max="8200" width="9.140625" style="62" bestFit="1" customWidth="1"/>
    <col min="8201" max="8201" width="11" style="62" customWidth="1"/>
    <col min="8202" max="8202" width="10.28515625" style="62" customWidth="1"/>
    <col min="8203" max="8204" width="9.140625" style="62"/>
    <col min="8205" max="8205" width="10.140625" style="62" customWidth="1"/>
    <col min="8206" max="8208" width="10" style="62" bestFit="1" customWidth="1"/>
    <col min="8209" max="8448" width="9.140625" style="62"/>
    <col min="8449" max="8449" width="11" style="62" customWidth="1"/>
    <col min="8450" max="8450" width="8.42578125" style="62" customWidth="1"/>
    <col min="8451" max="8451" width="11.140625" style="62" customWidth="1"/>
    <col min="8452" max="8452" width="10.140625" style="62" customWidth="1"/>
    <col min="8453" max="8453" width="10.28515625" style="62" customWidth="1"/>
    <col min="8454" max="8454" width="10.85546875" style="62" bestFit="1" customWidth="1"/>
    <col min="8455" max="8455" width="11.28515625" style="62" bestFit="1" customWidth="1"/>
    <col min="8456" max="8456" width="9.140625" style="62" bestFit="1" customWidth="1"/>
    <col min="8457" max="8457" width="11" style="62" customWidth="1"/>
    <col min="8458" max="8458" width="10.28515625" style="62" customWidth="1"/>
    <col min="8459" max="8460" width="9.140625" style="62"/>
    <col min="8461" max="8461" width="10.140625" style="62" customWidth="1"/>
    <col min="8462" max="8464" width="10" style="62" bestFit="1" customWidth="1"/>
    <col min="8465" max="8704" width="9.140625" style="62"/>
    <col min="8705" max="8705" width="11" style="62" customWidth="1"/>
    <col min="8706" max="8706" width="8.42578125" style="62" customWidth="1"/>
    <col min="8707" max="8707" width="11.140625" style="62" customWidth="1"/>
    <col min="8708" max="8708" width="10.140625" style="62" customWidth="1"/>
    <col min="8709" max="8709" width="10.28515625" style="62" customWidth="1"/>
    <col min="8710" max="8710" width="10.85546875" style="62" bestFit="1" customWidth="1"/>
    <col min="8711" max="8711" width="11.28515625" style="62" bestFit="1" customWidth="1"/>
    <col min="8712" max="8712" width="9.140625" style="62" bestFit="1" customWidth="1"/>
    <col min="8713" max="8713" width="11" style="62" customWidth="1"/>
    <col min="8714" max="8714" width="10.28515625" style="62" customWidth="1"/>
    <col min="8715" max="8716" width="9.140625" style="62"/>
    <col min="8717" max="8717" width="10.140625" style="62" customWidth="1"/>
    <col min="8718" max="8720" width="10" style="62" bestFit="1" customWidth="1"/>
    <col min="8721" max="8960" width="9.140625" style="62"/>
    <col min="8961" max="8961" width="11" style="62" customWidth="1"/>
    <col min="8962" max="8962" width="8.42578125" style="62" customWidth="1"/>
    <col min="8963" max="8963" width="11.140625" style="62" customWidth="1"/>
    <col min="8964" max="8964" width="10.140625" style="62" customWidth="1"/>
    <col min="8965" max="8965" width="10.28515625" style="62" customWidth="1"/>
    <col min="8966" max="8966" width="10.85546875" style="62" bestFit="1" customWidth="1"/>
    <col min="8967" max="8967" width="11.28515625" style="62" bestFit="1" customWidth="1"/>
    <col min="8968" max="8968" width="9.140625" style="62" bestFit="1" customWidth="1"/>
    <col min="8969" max="8969" width="11" style="62" customWidth="1"/>
    <col min="8970" max="8970" width="10.28515625" style="62" customWidth="1"/>
    <col min="8971" max="8972" width="9.140625" style="62"/>
    <col min="8973" max="8973" width="10.140625" style="62" customWidth="1"/>
    <col min="8974" max="8976" width="10" style="62" bestFit="1" customWidth="1"/>
    <col min="8977" max="9216" width="9.140625" style="62"/>
    <col min="9217" max="9217" width="11" style="62" customWidth="1"/>
    <col min="9218" max="9218" width="8.42578125" style="62" customWidth="1"/>
    <col min="9219" max="9219" width="11.140625" style="62" customWidth="1"/>
    <col min="9220" max="9220" width="10.140625" style="62" customWidth="1"/>
    <col min="9221" max="9221" width="10.28515625" style="62" customWidth="1"/>
    <col min="9222" max="9222" width="10.85546875" style="62" bestFit="1" customWidth="1"/>
    <col min="9223" max="9223" width="11.28515625" style="62" bestFit="1" customWidth="1"/>
    <col min="9224" max="9224" width="9.140625" style="62" bestFit="1" customWidth="1"/>
    <col min="9225" max="9225" width="11" style="62" customWidth="1"/>
    <col min="9226" max="9226" width="10.28515625" style="62" customWidth="1"/>
    <col min="9227" max="9228" width="9.140625" style="62"/>
    <col min="9229" max="9229" width="10.140625" style="62" customWidth="1"/>
    <col min="9230" max="9232" width="10" style="62" bestFit="1" customWidth="1"/>
    <col min="9233" max="9472" width="9.140625" style="62"/>
    <col min="9473" max="9473" width="11" style="62" customWidth="1"/>
    <col min="9474" max="9474" width="8.42578125" style="62" customWidth="1"/>
    <col min="9475" max="9475" width="11.140625" style="62" customWidth="1"/>
    <col min="9476" max="9476" width="10.140625" style="62" customWidth="1"/>
    <col min="9477" max="9477" width="10.28515625" style="62" customWidth="1"/>
    <col min="9478" max="9478" width="10.85546875" style="62" bestFit="1" customWidth="1"/>
    <col min="9479" max="9479" width="11.28515625" style="62" bestFit="1" customWidth="1"/>
    <col min="9480" max="9480" width="9.140625" style="62" bestFit="1" customWidth="1"/>
    <col min="9481" max="9481" width="11" style="62" customWidth="1"/>
    <col min="9482" max="9482" width="10.28515625" style="62" customWidth="1"/>
    <col min="9483" max="9484" width="9.140625" style="62"/>
    <col min="9485" max="9485" width="10.140625" style="62" customWidth="1"/>
    <col min="9486" max="9488" width="10" style="62" bestFit="1" customWidth="1"/>
    <col min="9489" max="9728" width="9.140625" style="62"/>
    <col min="9729" max="9729" width="11" style="62" customWidth="1"/>
    <col min="9730" max="9730" width="8.42578125" style="62" customWidth="1"/>
    <col min="9731" max="9731" width="11.140625" style="62" customWidth="1"/>
    <col min="9732" max="9732" width="10.140625" style="62" customWidth="1"/>
    <col min="9733" max="9733" width="10.28515625" style="62" customWidth="1"/>
    <col min="9734" max="9734" width="10.85546875" style="62" bestFit="1" customWidth="1"/>
    <col min="9735" max="9735" width="11.28515625" style="62" bestFit="1" customWidth="1"/>
    <col min="9736" max="9736" width="9.140625" style="62" bestFit="1" customWidth="1"/>
    <col min="9737" max="9737" width="11" style="62" customWidth="1"/>
    <col min="9738" max="9738" width="10.28515625" style="62" customWidth="1"/>
    <col min="9739" max="9740" width="9.140625" style="62"/>
    <col min="9741" max="9741" width="10.140625" style="62" customWidth="1"/>
    <col min="9742" max="9744" width="10" style="62" bestFit="1" customWidth="1"/>
    <col min="9745" max="9984" width="9.140625" style="62"/>
    <col min="9985" max="9985" width="11" style="62" customWidth="1"/>
    <col min="9986" max="9986" width="8.42578125" style="62" customWidth="1"/>
    <col min="9987" max="9987" width="11.140625" style="62" customWidth="1"/>
    <col min="9988" max="9988" width="10.140625" style="62" customWidth="1"/>
    <col min="9989" max="9989" width="10.28515625" style="62" customWidth="1"/>
    <col min="9990" max="9990" width="10.85546875" style="62" bestFit="1" customWidth="1"/>
    <col min="9991" max="9991" width="11.28515625" style="62" bestFit="1" customWidth="1"/>
    <col min="9992" max="9992" width="9.140625" style="62" bestFit="1" customWidth="1"/>
    <col min="9993" max="9993" width="11" style="62" customWidth="1"/>
    <col min="9994" max="9994" width="10.28515625" style="62" customWidth="1"/>
    <col min="9995" max="9996" width="9.140625" style="62"/>
    <col min="9997" max="9997" width="10.140625" style="62" customWidth="1"/>
    <col min="9998" max="10000" width="10" style="62" bestFit="1" customWidth="1"/>
    <col min="10001" max="10240" width="9.140625" style="62"/>
    <col min="10241" max="10241" width="11" style="62" customWidth="1"/>
    <col min="10242" max="10242" width="8.42578125" style="62" customWidth="1"/>
    <col min="10243" max="10243" width="11.140625" style="62" customWidth="1"/>
    <col min="10244" max="10244" width="10.140625" style="62" customWidth="1"/>
    <col min="10245" max="10245" width="10.28515625" style="62" customWidth="1"/>
    <col min="10246" max="10246" width="10.85546875" style="62" bestFit="1" customWidth="1"/>
    <col min="10247" max="10247" width="11.28515625" style="62" bestFit="1" customWidth="1"/>
    <col min="10248" max="10248" width="9.140625" style="62" bestFit="1" customWidth="1"/>
    <col min="10249" max="10249" width="11" style="62" customWidth="1"/>
    <col min="10250" max="10250" width="10.28515625" style="62" customWidth="1"/>
    <col min="10251" max="10252" width="9.140625" style="62"/>
    <col min="10253" max="10253" width="10.140625" style="62" customWidth="1"/>
    <col min="10254" max="10256" width="10" style="62" bestFit="1" customWidth="1"/>
    <col min="10257" max="10496" width="9.140625" style="62"/>
    <col min="10497" max="10497" width="11" style="62" customWidth="1"/>
    <col min="10498" max="10498" width="8.42578125" style="62" customWidth="1"/>
    <col min="10499" max="10499" width="11.140625" style="62" customWidth="1"/>
    <col min="10500" max="10500" width="10.140625" style="62" customWidth="1"/>
    <col min="10501" max="10501" width="10.28515625" style="62" customWidth="1"/>
    <col min="10502" max="10502" width="10.85546875" style="62" bestFit="1" customWidth="1"/>
    <col min="10503" max="10503" width="11.28515625" style="62" bestFit="1" customWidth="1"/>
    <col min="10504" max="10504" width="9.140625" style="62" bestFit="1" customWidth="1"/>
    <col min="10505" max="10505" width="11" style="62" customWidth="1"/>
    <col min="10506" max="10506" width="10.28515625" style="62" customWidth="1"/>
    <col min="10507" max="10508" width="9.140625" style="62"/>
    <col min="10509" max="10509" width="10.140625" style="62" customWidth="1"/>
    <col min="10510" max="10512" width="10" style="62" bestFit="1" customWidth="1"/>
    <col min="10513" max="10752" width="9.140625" style="62"/>
    <col min="10753" max="10753" width="11" style="62" customWidth="1"/>
    <col min="10754" max="10754" width="8.42578125" style="62" customWidth="1"/>
    <col min="10755" max="10755" width="11.140625" style="62" customWidth="1"/>
    <col min="10756" max="10756" width="10.140625" style="62" customWidth="1"/>
    <col min="10757" max="10757" width="10.28515625" style="62" customWidth="1"/>
    <col min="10758" max="10758" width="10.85546875" style="62" bestFit="1" customWidth="1"/>
    <col min="10759" max="10759" width="11.28515625" style="62" bestFit="1" customWidth="1"/>
    <col min="10760" max="10760" width="9.140625" style="62" bestFit="1" customWidth="1"/>
    <col min="10761" max="10761" width="11" style="62" customWidth="1"/>
    <col min="10762" max="10762" width="10.28515625" style="62" customWidth="1"/>
    <col min="10763" max="10764" width="9.140625" style="62"/>
    <col min="10765" max="10765" width="10.140625" style="62" customWidth="1"/>
    <col min="10766" max="10768" width="10" style="62" bestFit="1" customWidth="1"/>
    <col min="10769" max="11008" width="9.140625" style="62"/>
    <col min="11009" max="11009" width="11" style="62" customWidth="1"/>
    <col min="11010" max="11010" width="8.42578125" style="62" customWidth="1"/>
    <col min="11011" max="11011" width="11.140625" style="62" customWidth="1"/>
    <col min="11012" max="11012" width="10.140625" style="62" customWidth="1"/>
    <col min="11013" max="11013" width="10.28515625" style="62" customWidth="1"/>
    <col min="11014" max="11014" width="10.85546875" style="62" bestFit="1" customWidth="1"/>
    <col min="11015" max="11015" width="11.28515625" style="62" bestFit="1" customWidth="1"/>
    <col min="11016" max="11016" width="9.140625" style="62" bestFit="1" customWidth="1"/>
    <col min="11017" max="11017" width="11" style="62" customWidth="1"/>
    <col min="11018" max="11018" width="10.28515625" style="62" customWidth="1"/>
    <col min="11019" max="11020" width="9.140625" style="62"/>
    <col min="11021" max="11021" width="10.140625" style="62" customWidth="1"/>
    <col min="11022" max="11024" width="10" style="62" bestFit="1" customWidth="1"/>
    <col min="11025" max="11264" width="9.140625" style="62"/>
    <col min="11265" max="11265" width="11" style="62" customWidth="1"/>
    <col min="11266" max="11266" width="8.42578125" style="62" customWidth="1"/>
    <col min="11267" max="11267" width="11.140625" style="62" customWidth="1"/>
    <col min="11268" max="11268" width="10.140625" style="62" customWidth="1"/>
    <col min="11269" max="11269" width="10.28515625" style="62" customWidth="1"/>
    <col min="11270" max="11270" width="10.85546875" style="62" bestFit="1" customWidth="1"/>
    <col min="11271" max="11271" width="11.28515625" style="62" bestFit="1" customWidth="1"/>
    <col min="11272" max="11272" width="9.140625" style="62" bestFit="1" customWidth="1"/>
    <col min="11273" max="11273" width="11" style="62" customWidth="1"/>
    <col min="11274" max="11274" width="10.28515625" style="62" customWidth="1"/>
    <col min="11275" max="11276" width="9.140625" style="62"/>
    <col min="11277" max="11277" width="10.140625" style="62" customWidth="1"/>
    <col min="11278" max="11280" width="10" style="62" bestFit="1" customWidth="1"/>
    <col min="11281" max="11520" width="9.140625" style="62"/>
    <col min="11521" max="11521" width="11" style="62" customWidth="1"/>
    <col min="11522" max="11522" width="8.42578125" style="62" customWidth="1"/>
    <col min="11523" max="11523" width="11.140625" style="62" customWidth="1"/>
    <col min="11524" max="11524" width="10.140625" style="62" customWidth="1"/>
    <col min="11525" max="11525" width="10.28515625" style="62" customWidth="1"/>
    <col min="11526" max="11526" width="10.85546875" style="62" bestFit="1" customWidth="1"/>
    <col min="11527" max="11527" width="11.28515625" style="62" bestFit="1" customWidth="1"/>
    <col min="11528" max="11528" width="9.140625" style="62" bestFit="1" customWidth="1"/>
    <col min="11529" max="11529" width="11" style="62" customWidth="1"/>
    <col min="11530" max="11530" width="10.28515625" style="62" customWidth="1"/>
    <col min="11531" max="11532" width="9.140625" style="62"/>
    <col min="11533" max="11533" width="10.140625" style="62" customWidth="1"/>
    <col min="11534" max="11536" width="10" style="62" bestFit="1" customWidth="1"/>
    <col min="11537" max="11776" width="9.140625" style="62"/>
    <col min="11777" max="11777" width="11" style="62" customWidth="1"/>
    <col min="11778" max="11778" width="8.42578125" style="62" customWidth="1"/>
    <col min="11779" max="11779" width="11.140625" style="62" customWidth="1"/>
    <col min="11780" max="11780" width="10.140625" style="62" customWidth="1"/>
    <col min="11781" max="11781" width="10.28515625" style="62" customWidth="1"/>
    <col min="11782" max="11782" width="10.85546875" style="62" bestFit="1" customWidth="1"/>
    <col min="11783" max="11783" width="11.28515625" style="62" bestFit="1" customWidth="1"/>
    <col min="11784" max="11784" width="9.140625" style="62" bestFit="1" customWidth="1"/>
    <col min="11785" max="11785" width="11" style="62" customWidth="1"/>
    <col min="11786" max="11786" width="10.28515625" style="62" customWidth="1"/>
    <col min="11787" max="11788" width="9.140625" style="62"/>
    <col min="11789" max="11789" width="10.140625" style="62" customWidth="1"/>
    <col min="11790" max="11792" width="10" style="62" bestFit="1" customWidth="1"/>
    <col min="11793" max="12032" width="9.140625" style="62"/>
    <col min="12033" max="12033" width="11" style="62" customWidth="1"/>
    <col min="12034" max="12034" width="8.42578125" style="62" customWidth="1"/>
    <col min="12035" max="12035" width="11.140625" style="62" customWidth="1"/>
    <col min="12036" max="12036" width="10.140625" style="62" customWidth="1"/>
    <col min="12037" max="12037" width="10.28515625" style="62" customWidth="1"/>
    <col min="12038" max="12038" width="10.85546875" style="62" bestFit="1" customWidth="1"/>
    <col min="12039" max="12039" width="11.28515625" style="62" bestFit="1" customWidth="1"/>
    <col min="12040" max="12040" width="9.140625" style="62" bestFit="1" customWidth="1"/>
    <col min="12041" max="12041" width="11" style="62" customWidth="1"/>
    <col min="12042" max="12042" width="10.28515625" style="62" customWidth="1"/>
    <col min="12043" max="12044" width="9.140625" style="62"/>
    <col min="12045" max="12045" width="10.140625" style="62" customWidth="1"/>
    <col min="12046" max="12048" width="10" style="62" bestFit="1" customWidth="1"/>
    <col min="12049" max="12288" width="9.140625" style="62"/>
    <col min="12289" max="12289" width="11" style="62" customWidth="1"/>
    <col min="12290" max="12290" width="8.42578125" style="62" customWidth="1"/>
    <col min="12291" max="12291" width="11.140625" style="62" customWidth="1"/>
    <col min="12292" max="12292" width="10.140625" style="62" customWidth="1"/>
    <col min="12293" max="12293" width="10.28515625" style="62" customWidth="1"/>
    <col min="12294" max="12294" width="10.85546875" style="62" bestFit="1" customWidth="1"/>
    <col min="12295" max="12295" width="11.28515625" style="62" bestFit="1" customWidth="1"/>
    <col min="12296" max="12296" width="9.140625" style="62" bestFit="1" customWidth="1"/>
    <col min="12297" max="12297" width="11" style="62" customWidth="1"/>
    <col min="12298" max="12298" width="10.28515625" style="62" customWidth="1"/>
    <col min="12299" max="12300" width="9.140625" style="62"/>
    <col min="12301" max="12301" width="10.140625" style="62" customWidth="1"/>
    <col min="12302" max="12304" width="10" style="62" bestFit="1" customWidth="1"/>
    <col min="12305" max="12544" width="9.140625" style="62"/>
    <col min="12545" max="12545" width="11" style="62" customWidth="1"/>
    <col min="12546" max="12546" width="8.42578125" style="62" customWidth="1"/>
    <col min="12547" max="12547" width="11.140625" style="62" customWidth="1"/>
    <col min="12548" max="12548" width="10.140625" style="62" customWidth="1"/>
    <col min="12549" max="12549" width="10.28515625" style="62" customWidth="1"/>
    <col min="12550" max="12550" width="10.85546875" style="62" bestFit="1" customWidth="1"/>
    <col min="12551" max="12551" width="11.28515625" style="62" bestFit="1" customWidth="1"/>
    <col min="12552" max="12552" width="9.140625" style="62" bestFit="1" customWidth="1"/>
    <col min="12553" max="12553" width="11" style="62" customWidth="1"/>
    <col min="12554" max="12554" width="10.28515625" style="62" customWidth="1"/>
    <col min="12555" max="12556" width="9.140625" style="62"/>
    <col min="12557" max="12557" width="10.140625" style="62" customWidth="1"/>
    <col min="12558" max="12560" width="10" style="62" bestFit="1" customWidth="1"/>
    <col min="12561" max="12800" width="9.140625" style="62"/>
    <col min="12801" max="12801" width="11" style="62" customWidth="1"/>
    <col min="12802" max="12802" width="8.42578125" style="62" customWidth="1"/>
    <col min="12803" max="12803" width="11.140625" style="62" customWidth="1"/>
    <col min="12804" max="12804" width="10.140625" style="62" customWidth="1"/>
    <col min="12805" max="12805" width="10.28515625" style="62" customWidth="1"/>
    <col min="12806" max="12806" width="10.85546875" style="62" bestFit="1" customWidth="1"/>
    <col min="12807" max="12807" width="11.28515625" style="62" bestFit="1" customWidth="1"/>
    <col min="12808" max="12808" width="9.140625" style="62" bestFit="1" customWidth="1"/>
    <col min="12809" max="12809" width="11" style="62" customWidth="1"/>
    <col min="12810" max="12810" width="10.28515625" style="62" customWidth="1"/>
    <col min="12811" max="12812" width="9.140625" style="62"/>
    <col min="12813" max="12813" width="10.140625" style="62" customWidth="1"/>
    <col min="12814" max="12816" width="10" style="62" bestFit="1" customWidth="1"/>
    <col min="12817" max="13056" width="9.140625" style="62"/>
    <col min="13057" max="13057" width="11" style="62" customWidth="1"/>
    <col min="13058" max="13058" width="8.42578125" style="62" customWidth="1"/>
    <col min="13059" max="13059" width="11.140625" style="62" customWidth="1"/>
    <col min="13060" max="13060" width="10.140625" style="62" customWidth="1"/>
    <col min="13061" max="13061" width="10.28515625" style="62" customWidth="1"/>
    <col min="13062" max="13062" width="10.85546875" style="62" bestFit="1" customWidth="1"/>
    <col min="13063" max="13063" width="11.28515625" style="62" bestFit="1" customWidth="1"/>
    <col min="13064" max="13064" width="9.140625" style="62" bestFit="1" customWidth="1"/>
    <col min="13065" max="13065" width="11" style="62" customWidth="1"/>
    <col min="13066" max="13066" width="10.28515625" style="62" customWidth="1"/>
    <col min="13067" max="13068" width="9.140625" style="62"/>
    <col min="13069" max="13069" width="10.140625" style="62" customWidth="1"/>
    <col min="13070" max="13072" width="10" style="62" bestFit="1" customWidth="1"/>
    <col min="13073" max="13312" width="9.140625" style="62"/>
    <col min="13313" max="13313" width="11" style="62" customWidth="1"/>
    <col min="13314" max="13314" width="8.42578125" style="62" customWidth="1"/>
    <col min="13315" max="13315" width="11.140625" style="62" customWidth="1"/>
    <col min="13316" max="13316" width="10.140625" style="62" customWidth="1"/>
    <col min="13317" max="13317" width="10.28515625" style="62" customWidth="1"/>
    <col min="13318" max="13318" width="10.85546875" style="62" bestFit="1" customWidth="1"/>
    <col min="13319" max="13319" width="11.28515625" style="62" bestFit="1" customWidth="1"/>
    <col min="13320" max="13320" width="9.140625" style="62" bestFit="1" customWidth="1"/>
    <col min="13321" max="13321" width="11" style="62" customWidth="1"/>
    <col min="13322" max="13322" width="10.28515625" style="62" customWidth="1"/>
    <col min="13323" max="13324" width="9.140625" style="62"/>
    <col min="13325" max="13325" width="10.140625" style="62" customWidth="1"/>
    <col min="13326" max="13328" width="10" style="62" bestFit="1" customWidth="1"/>
    <col min="13329" max="13568" width="9.140625" style="62"/>
    <col min="13569" max="13569" width="11" style="62" customWidth="1"/>
    <col min="13570" max="13570" width="8.42578125" style="62" customWidth="1"/>
    <col min="13571" max="13571" width="11.140625" style="62" customWidth="1"/>
    <col min="13572" max="13572" width="10.140625" style="62" customWidth="1"/>
    <col min="13573" max="13573" width="10.28515625" style="62" customWidth="1"/>
    <col min="13574" max="13574" width="10.85546875" style="62" bestFit="1" customWidth="1"/>
    <col min="13575" max="13575" width="11.28515625" style="62" bestFit="1" customWidth="1"/>
    <col min="13576" max="13576" width="9.140625" style="62" bestFit="1" customWidth="1"/>
    <col min="13577" max="13577" width="11" style="62" customWidth="1"/>
    <col min="13578" max="13578" width="10.28515625" style="62" customWidth="1"/>
    <col min="13579" max="13580" width="9.140625" style="62"/>
    <col min="13581" max="13581" width="10.140625" style="62" customWidth="1"/>
    <col min="13582" max="13584" width="10" style="62" bestFit="1" customWidth="1"/>
    <col min="13585" max="13824" width="9.140625" style="62"/>
    <col min="13825" max="13825" width="11" style="62" customWidth="1"/>
    <col min="13826" max="13826" width="8.42578125" style="62" customWidth="1"/>
    <col min="13827" max="13827" width="11.140625" style="62" customWidth="1"/>
    <col min="13828" max="13828" width="10.140625" style="62" customWidth="1"/>
    <col min="13829" max="13829" width="10.28515625" style="62" customWidth="1"/>
    <col min="13830" max="13830" width="10.85546875" style="62" bestFit="1" customWidth="1"/>
    <col min="13831" max="13831" width="11.28515625" style="62" bestFit="1" customWidth="1"/>
    <col min="13832" max="13832" width="9.140625" style="62" bestFit="1" customWidth="1"/>
    <col min="13833" max="13833" width="11" style="62" customWidth="1"/>
    <col min="13834" max="13834" width="10.28515625" style="62" customWidth="1"/>
    <col min="13835" max="13836" width="9.140625" style="62"/>
    <col min="13837" max="13837" width="10.140625" style="62" customWidth="1"/>
    <col min="13838" max="13840" width="10" style="62" bestFit="1" customWidth="1"/>
    <col min="13841" max="14080" width="9.140625" style="62"/>
    <col min="14081" max="14081" width="11" style="62" customWidth="1"/>
    <col min="14082" max="14082" width="8.42578125" style="62" customWidth="1"/>
    <col min="14083" max="14083" width="11.140625" style="62" customWidth="1"/>
    <col min="14084" max="14084" width="10.140625" style="62" customWidth="1"/>
    <col min="14085" max="14085" width="10.28515625" style="62" customWidth="1"/>
    <col min="14086" max="14086" width="10.85546875" style="62" bestFit="1" customWidth="1"/>
    <col min="14087" max="14087" width="11.28515625" style="62" bestFit="1" customWidth="1"/>
    <col min="14088" max="14088" width="9.140625" style="62" bestFit="1" customWidth="1"/>
    <col min="14089" max="14089" width="11" style="62" customWidth="1"/>
    <col min="14090" max="14090" width="10.28515625" style="62" customWidth="1"/>
    <col min="14091" max="14092" width="9.140625" style="62"/>
    <col min="14093" max="14093" width="10.140625" style="62" customWidth="1"/>
    <col min="14094" max="14096" width="10" style="62" bestFit="1" customWidth="1"/>
    <col min="14097" max="14336" width="9.140625" style="62"/>
    <col min="14337" max="14337" width="11" style="62" customWidth="1"/>
    <col min="14338" max="14338" width="8.42578125" style="62" customWidth="1"/>
    <col min="14339" max="14339" width="11.140625" style="62" customWidth="1"/>
    <col min="14340" max="14340" width="10.140625" style="62" customWidth="1"/>
    <col min="14341" max="14341" width="10.28515625" style="62" customWidth="1"/>
    <col min="14342" max="14342" width="10.85546875" style="62" bestFit="1" customWidth="1"/>
    <col min="14343" max="14343" width="11.28515625" style="62" bestFit="1" customWidth="1"/>
    <col min="14344" max="14344" width="9.140625" style="62" bestFit="1" customWidth="1"/>
    <col min="14345" max="14345" width="11" style="62" customWidth="1"/>
    <col min="14346" max="14346" width="10.28515625" style="62" customWidth="1"/>
    <col min="14347" max="14348" width="9.140625" style="62"/>
    <col min="14349" max="14349" width="10.140625" style="62" customWidth="1"/>
    <col min="14350" max="14352" width="10" style="62" bestFit="1" customWidth="1"/>
    <col min="14353" max="14592" width="9.140625" style="62"/>
    <col min="14593" max="14593" width="11" style="62" customWidth="1"/>
    <col min="14594" max="14594" width="8.42578125" style="62" customWidth="1"/>
    <col min="14595" max="14595" width="11.140625" style="62" customWidth="1"/>
    <col min="14596" max="14596" width="10.140625" style="62" customWidth="1"/>
    <col min="14597" max="14597" width="10.28515625" style="62" customWidth="1"/>
    <col min="14598" max="14598" width="10.85546875" style="62" bestFit="1" customWidth="1"/>
    <col min="14599" max="14599" width="11.28515625" style="62" bestFit="1" customWidth="1"/>
    <col min="14600" max="14600" width="9.140625" style="62" bestFit="1" customWidth="1"/>
    <col min="14601" max="14601" width="11" style="62" customWidth="1"/>
    <col min="14602" max="14602" width="10.28515625" style="62" customWidth="1"/>
    <col min="14603" max="14604" width="9.140625" style="62"/>
    <col min="14605" max="14605" width="10.140625" style="62" customWidth="1"/>
    <col min="14606" max="14608" width="10" style="62" bestFit="1" customWidth="1"/>
    <col min="14609" max="14848" width="9.140625" style="62"/>
    <col min="14849" max="14849" width="11" style="62" customWidth="1"/>
    <col min="14850" max="14850" width="8.42578125" style="62" customWidth="1"/>
    <col min="14851" max="14851" width="11.140625" style="62" customWidth="1"/>
    <col min="14852" max="14852" width="10.140625" style="62" customWidth="1"/>
    <col min="14853" max="14853" width="10.28515625" style="62" customWidth="1"/>
    <col min="14854" max="14854" width="10.85546875" style="62" bestFit="1" customWidth="1"/>
    <col min="14855" max="14855" width="11.28515625" style="62" bestFit="1" customWidth="1"/>
    <col min="14856" max="14856" width="9.140625" style="62" bestFit="1" customWidth="1"/>
    <col min="14857" max="14857" width="11" style="62" customWidth="1"/>
    <col min="14858" max="14858" width="10.28515625" style="62" customWidth="1"/>
    <col min="14859" max="14860" width="9.140625" style="62"/>
    <col min="14861" max="14861" width="10.140625" style="62" customWidth="1"/>
    <col min="14862" max="14864" width="10" style="62" bestFit="1" customWidth="1"/>
    <col min="14865" max="15104" width="9.140625" style="62"/>
    <col min="15105" max="15105" width="11" style="62" customWidth="1"/>
    <col min="15106" max="15106" width="8.42578125" style="62" customWidth="1"/>
    <col min="15107" max="15107" width="11.140625" style="62" customWidth="1"/>
    <col min="15108" max="15108" width="10.140625" style="62" customWidth="1"/>
    <col min="15109" max="15109" width="10.28515625" style="62" customWidth="1"/>
    <col min="15110" max="15110" width="10.85546875" style="62" bestFit="1" customWidth="1"/>
    <col min="15111" max="15111" width="11.28515625" style="62" bestFit="1" customWidth="1"/>
    <col min="15112" max="15112" width="9.140625" style="62" bestFit="1" customWidth="1"/>
    <col min="15113" max="15113" width="11" style="62" customWidth="1"/>
    <col min="15114" max="15114" width="10.28515625" style="62" customWidth="1"/>
    <col min="15115" max="15116" width="9.140625" style="62"/>
    <col min="15117" max="15117" width="10.140625" style="62" customWidth="1"/>
    <col min="15118" max="15120" width="10" style="62" bestFit="1" customWidth="1"/>
    <col min="15121" max="15360" width="9.140625" style="62"/>
    <col min="15361" max="15361" width="11" style="62" customWidth="1"/>
    <col min="15362" max="15362" width="8.42578125" style="62" customWidth="1"/>
    <col min="15363" max="15363" width="11.140625" style="62" customWidth="1"/>
    <col min="15364" max="15364" width="10.140625" style="62" customWidth="1"/>
    <col min="15365" max="15365" width="10.28515625" style="62" customWidth="1"/>
    <col min="15366" max="15366" width="10.85546875" style="62" bestFit="1" customWidth="1"/>
    <col min="15367" max="15367" width="11.28515625" style="62" bestFit="1" customWidth="1"/>
    <col min="15368" max="15368" width="9.140625" style="62" bestFit="1" customWidth="1"/>
    <col min="15369" max="15369" width="11" style="62" customWidth="1"/>
    <col min="15370" max="15370" width="10.28515625" style="62" customWidth="1"/>
    <col min="15371" max="15372" width="9.140625" style="62"/>
    <col min="15373" max="15373" width="10.140625" style="62" customWidth="1"/>
    <col min="15374" max="15376" width="10" style="62" bestFit="1" customWidth="1"/>
    <col min="15377" max="15616" width="9.140625" style="62"/>
    <col min="15617" max="15617" width="11" style="62" customWidth="1"/>
    <col min="15618" max="15618" width="8.42578125" style="62" customWidth="1"/>
    <col min="15619" max="15619" width="11.140625" style="62" customWidth="1"/>
    <col min="15620" max="15620" width="10.140625" style="62" customWidth="1"/>
    <col min="15621" max="15621" width="10.28515625" style="62" customWidth="1"/>
    <col min="15622" max="15622" width="10.85546875" style="62" bestFit="1" customWidth="1"/>
    <col min="15623" max="15623" width="11.28515625" style="62" bestFit="1" customWidth="1"/>
    <col min="15624" max="15624" width="9.140625" style="62" bestFit="1" customWidth="1"/>
    <col min="15625" max="15625" width="11" style="62" customWidth="1"/>
    <col min="15626" max="15626" width="10.28515625" style="62" customWidth="1"/>
    <col min="15627" max="15628" width="9.140625" style="62"/>
    <col min="15629" max="15629" width="10.140625" style="62" customWidth="1"/>
    <col min="15630" max="15632" width="10" style="62" bestFit="1" customWidth="1"/>
    <col min="15633" max="15872" width="9.140625" style="62"/>
    <col min="15873" max="15873" width="11" style="62" customWidth="1"/>
    <col min="15874" max="15874" width="8.42578125" style="62" customWidth="1"/>
    <col min="15875" max="15875" width="11.140625" style="62" customWidth="1"/>
    <col min="15876" max="15876" width="10.140625" style="62" customWidth="1"/>
    <col min="15877" max="15877" width="10.28515625" style="62" customWidth="1"/>
    <col min="15878" max="15878" width="10.85546875" style="62" bestFit="1" customWidth="1"/>
    <col min="15879" max="15879" width="11.28515625" style="62" bestFit="1" customWidth="1"/>
    <col min="15880" max="15880" width="9.140625" style="62" bestFit="1" customWidth="1"/>
    <col min="15881" max="15881" width="11" style="62" customWidth="1"/>
    <col min="15882" max="15882" width="10.28515625" style="62" customWidth="1"/>
    <col min="15883" max="15884" width="9.140625" style="62"/>
    <col min="15885" max="15885" width="10.140625" style="62" customWidth="1"/>
    <col min="15886" max="15888" width="10" style="62" bestFit="1" customWidth="1"/>
    <col min="15889" max="16128" width="9.140625" style="62"/>
    <col min="16129" max="16129" width="11" style="62" customWidth="1"/>
    <col min="16130" max="16130" width="8.42578125" style="62" customWidth="1"/>
    <col min="16131" max="16131" width="11.140625" style="62" customWidth="1"/>
    <col min="16132" max="16132" width="10.140625" style="62" customWidth="1"/>
    <col min="16133" max="16133" width="10.28515625" style="62" customWidth="1"/>
    <col min="16134" max="16134" width="10.85546875" style="62" bestFit="1" customWidth="1"/>
    <col min="16135" max="16135" width="11.28515625" style="62" bestFit="1" customWidth="1"/>
    <col min="16136" max="16136" width="9.140625" style="62" bestFit="1" customWidth="1"/>
    <col min="16137" max="16137" width="11" style="62" customWidth="1"/>
    <col min="16138" max="16138" width="10.28515625" style="62" customWidth="1"/>
    <col min="16139" max="16140" width="9.140625" style="62"/>
    <col min="16141" max="16141" width="10.140625" style="62" customWidth="1"/>
    <col min="16142" max="16144" width="10" style="62" bestFit="1" customWidth="1"/>
    <col min="16145" max="16384" width="9.140625" style="62"/>
  </cols>
  <sheetData>
    <row r="3" spans="1:25">
      <c r="A3" s="102" t="s">
        <v>170</v>
      </c>
      <c r="B3" s="103">
        <v>44377</v>
      </c>
    </row>
    <row r="4" spans="1:25">
      <c r="C4" s="62" t="s">
        <v>171</v>
      </c>
    </row>
    <row r="5" spans="1:25">
      <c r="C5" s="62" t="s">
        <v>172</v>
      </c>
      <c r="E5" s="62" t="s">
        <v>173</v>
      </c>
      <c r="H5" s="62" t="s">
        <v>174</v>
      </c>
      <c r="J5" s="62" t="s">
        <v>175</v>
      </c>
      <c r="M5" s="104" t="s">
        <v>176</v>
      </c>
    </row>
    <row r="6" spans="1:25" s="105" customFormat="1">
      <c r="C6" s="106"/>
      <c r="J6" s="105" t="s">
        <v>177</v>
      </c>
      <c r="P6" s="107"/>
      <c r="R6" s="62"/>
      <c r="S6" s="62"/>
      <c r="T6" s="62"/>
      <c r="U6" s="62"/>
      <c r="V6" s="62"/>
      <c r="W6" s="62"/>
      <c r="X6" s="62"/>
      <c r="Y6" s="62"/>
    </row>
    <row r="7" spans="1:25">
      <c r="A7" s="106"/>
      <c r="B7" s="106"/>
      <c r="D7" s="108"/>
      <c r="J7" s="109"/>
    </row>
    <row r="8" spans="1:25" s="105" customFormat="1">
      <c r="C8" s="106"/>
      <c r="D8" s="106"/>
      <c r="E8" s="106"/>
      <c r="F8" s="106"/>
      <c r="G8" s="106"/>
      <c r="H8" s="106"/>
      <c r="N8" s="106"/>
      <c r="O8" s="106"/>
      <c r="P8" s="110"/>
      <c r="R8" s="62"/>
      <c r="S8" s="62"/>
      <c r="T8" s="62"/>
      <c r="U8" s="62"/>
      <c r="V8" s="62"/>
      <c r="W8" s="62"/>
      <c r="X8" s="62"/>
      <c r="Y8" s="62"/>
    </row>
    <row r="9" spans="1:25">
      <c r="A9" s="111" t="s">
        <v>178</v>
      </c>
      <c r="B9" s="112" t="s">
        <v>150</v>
      </c>
      <c r="C9" s="113" t="s">
        <v>179</v>
      </c>
      <c r="D9" s="113" t="s">
        <v>180</v>
      </c>
      <c r="E9" s="113" t="s">
        <v>181</v>
      </c>
      <c r="F9" s="113" t="s">
        <v>182</v>
      </c>
      <c r="G9" s="111" t="s">
        <v>178</v>
      </c>
      <c r="H9" s="114" t="s">
        <v>150</v>
      </c>
      <c r="I9" s="115" t="s">
        <v>179</v>
      </c>
      <c r="J9" s="115" t="s">
        <v>180</v>
      </c>
      <c r="K9" s="115" t="s">
        <v>181</v>
      </c>
      <c r="L9" s="113" t="s">
        <v>182</v>
      </c>
    </row>
    <row r="10" spans="1:25">
      <c r="A10" s="111" t="s">
        <v>183</v>
      </c>
      <c r="B10" s="115">
        <f>12636603.36</f>
        <v>12636603.359999999</v>
      </c>
      <c r="C10" s="116">
        <f>6043841.78</f>
        <v>6043841.7800000003</v>
      </c>
      <c r="D10" s="116">
        <f>6043841.78</f>
        <v>6043841.7800000003</v>
      </c>
      <c r="E10" s="117">
        <f>5665953.7</f>
        <v>5665953.7000000002</v>
      </c>
      <c r="F10" s="117">
        <f>B10-C10</f>
        <v>6592761.5799999991</v>
      </c>
      <c r="G10" s="111" t="s">
        <v>184</v>
      </c>
      <c r="H10" s="115">
        <v>313301</v>
      </c>
      <c r="I10" s="48">
        <v>311129.25</v>
      </c>
      <c r="J10" s="48">
        <v>311129.25</v>
      </c>
      <c r="K10" s="118">
        <v>196314.52</v>
      </c>
      <c r="L10" s="117">
        <f>H10-I10</f>
        <v>2171.75</v>
      </c>
    </row>
    <row r="11" spans="1:25">
      <c r="A11" s="111" t="s">
        <v>185</v>
      </c>
      <c r="B11" s="115">
        <v>3284610.61</v>
      </c>
      <c r="C11" s="116">
        <v>1592784.65</v>
      </c>
      <c r="D11" s="116">
        <v>1592784.65</v>
      </c>
      <c r="E11" s="116">
        <v>1493340.18</v>
      </c>
      <c r="F11" s="117">
        <f>B11-C11</f>
        <v>1691825.96</v>
      </c>
      <c r="G11" s="111" t="s">
        <v>186</v>
      </c>
      <c r="H11" s="115">
        <v>540184.71</v>
      </c>
      <c r="I11" s="48">
        <v>380338.94</v>
      </c>
      <c r="J11" s="48">
        <v>380338.94</v>
      </c>
      <c r="K11" s="118">
        <v>355067.18</v>
      </c>
      <c r="L11" s="117">
        <f>H11-I11</f>
        <v>159845.76999999996</v>
      </c>
    </row>
    <row r="12" spans="1:25">
      <c r="A12" s="113" t="s">
        <v>187</v>
      </c>
      <c r="B12" s="119">
        <f>2188774.08</f>
        <v>2188774.08</v>
      </c>
      <c r="C12" s="116">
        <v>1072315.8899999999</v>
      </c>
      <c r="D12" s="116">
        <v>1072315.8899999999</v>
      </c>
      <c r="E12" s="117">
        <v>1010368.25</v>
      </c>
      <c r="F12" s="117">
        <f>B12-C12</f>
        <v>1116458.1900000002</v>
      </c>
      <c r="G12" s="113" t="s">
        <v>188</v>
      </c>
      <c r="H12" s="115">
        <f>1261737.86</f>
        <v>1261737.8600000001</v>
      </c>
      <c r="I12" s="48">
        <v>817871.03</v>
      </c>
      <c r="J12" s="48">
        <v>817871.03</v>
      </c>
      <c r="K12" s="118">
        <v>774087.23</v>
      </c>
      <c r="L12" s="117">
        <f>H12-I12</f>
        <v>443866.83000000007</v>
      </c>
    </row>
    <row r="13" spans="1:25">
      <c r="A13" s="113" t="s">
        <v>189</v>
      </c>
      <c r="B13" s="119">
        <v>1223530.3700000001</v>
      </c>
      <c r="C13" s="116">
        <v>722487.24</v>
      </c>
      <c r="D13" s="116">
        <v>722487.24</v>
      </c>
      <c r="E13" s="117">
        <v>678732.56</v>
      </c>
      <c r="F13" s="117">
        <f>B13-C13</f>
        <v>501043.13000000012</v>
      </c>
      <c r="G13" s="113"/>
      <c r="H13" s="115"/>
      <c r="I13" s="48"/>
      <c r="J13" s="48"/>
      <c r="K13" s="118"/>
      <c r="L13" s="117">
        <f>H13-I13</f>
        <v>0</v>
      </c>
    </row>
    <row r="14" spans="1:25">
      <c r="A14" s="113" t="s">
        <v>190</v>
      </c>
      <c r="B14" s="119">
        <v>402256.61</v>
      </c>
      <c r="C14" s="116">
        <v>216776.16</v>
      </c>
      <c r="D14" s="116">
        <v>216776.16</v>
      </c>
      <c r="E14" s="117">
        <v>201306.71</v>
      </c>
      <c r="F14" s="117">
        <f>B14-C14</f>
        <v>185480.44999999998</v>
      </c>
      <c r="G14" s="113" t="s">
        <v>191</v>
      </c>
      <c r="H14" s="115">
        <v>149580.78</v>
      </c>
      <c r="I14" s="48">
        <v>75127.83</v>
      </c>
      <c r="J14" s="48">
        <v>75127.83</v>
      </c>
      <c r="K14" s="118">
        <v>71070.429999999993</v>
      </c>
      <c r="L14" s="117">
        <f>H14-I14</f>
        <v>74452.95</v>
      </c>
    </row>
    <row r="15" spans="1:25" s="125" customFormat="1">
      <c r="A15" s="120" t="s">
        <v>192</v>
      </c>
      <c r="B15" s="121">
        <f>SUM(B10:B14)</f>
        <v>19735775.029999997</v>
      </c>
      <c r="C15" s="122">
        <f>SUM(C10:C14)</f>
        <v>9648205.7200000007</v>
      </c>
      <c r="D15" s="122">
        <f>SUM(D10:D14)</f>
        <v>9648205.7200000007</v>
      </c>
      <c r="E15" s="123">
        <f>SUM(E10:E14)</f>
        <v>9049701.4000000004</v>
      </c>
      <c r="F15" s="121">
        <f>SUM(F10:F14)</f>
        <v>10087569.309999999</v>
      </c>
      <c r="G15" s="120" t="s">
        <v>193</v>
      </c>
      <c r="H15" s="121">
        <f>SUM(H10:H14)</f>
        <v>2264804.35</v>
      </c>
      <c r="I15" s="122">
        <f>SUM(I10:I14)</f>
        <v>1584467.05</v>
      </c>
      <c r="J15" s="122">
        <f>SUM(J10:J14)</f>
        <v>1584467.05</v>
      </c>
      <c r="K15" s="124">
        <f>SUM(K10:K14)</f>
        <v>1396539.3599999999</v>
      </c>
      <c r="L15" s="121">
        <f>SUM(L10:L14)</f>
        <v>680337.3</v>
      </c>
    </row>
    <row r="16" spans="1:25" s="125" customFormat="1">
      <c r="A16" s="126"/>
      <c r="B16" s="127"/>
      <c r="C16" s="128"/>
      <c r="D16" s="128"/>
      <c r="E16" s="129"/>
      <c r="F16" s="127"/>
      <c r="G16" s="126"/>
      <c r="H16" s="127"/>
      <c r="I16" s="128"/>
      <c r="J16" s="128"/>
      <c r="K16" s="129"/>
      <c r="L16" s="127"/>
      <c r="M16" s="102"/>
      <c r="N16" s="130"/>
      <c r="O16" s="130"/>
      <c r="P16" s="130"/>
    </row>
    <row r="17" spans="1:16" s="125" customFormat="1">
      <c r="A17" s="126"/>
      <c r="C17" s="127" t="s">
        <v>194</v>
      </c>
      <c r="D17" s="128">
        <f>D15</f>
        <v>9648205.7200000007</v>
      </c>
      <c r="E17" s="131">
        <f>D17/E37</f>
        <v>0.85894122597145695</v>
      </c>
      <c r="F17" s="127"/>
      <c r="G17" s="126"/>
      <c r="H17" s="127"/>
      <c r="I17" s="128" t="s">
        <v>195</v>
      </c>
      <c r="J17" s="128">
        <f>J15</f>
        <v>1584467.05</v>
      </c>
      <c r="K17" s="131">
        <f>J17/E37</f>
        <v>0.14105877402854317</v>
      </c>
      <c r="L17" s="127"/>
      <c r="M17" s="102"/>
      <c r="N17" s="130"/>
      <c r="O17" s="130"/>
      <c r="P17" s="130"/>
    </row>
    <row r="18" spans="1:16" s="125" customFormat="1">
      <c r="A18" s="126"/>
      <c r="B18" s="127"/>
      <c r="C18" s="128"/>
      <c r="D18" s="128"/>
      <c r="E18" s="129"/>
      <c r="F18" s="127"/>
      <c r="G18" s="126"/>
      <c r="H18" s="127"/>
      <c r="I18" s="128"/>
      <c r="J18" s="128"/>
      <c r="K18" s="129"/>
      <c r="L18" s="127"/>
      <c r="M18" s="102"/>
      <c r="N18" s="130"/>
      <c r="O18" s="130"/>
      <c r="P18" s="130"/>
    </row>
    <row r="19" spans="1:16">
      <c r="A19" s="106" t="s">
        <v>183</v>
      </c>
      <c r="B19" s="115">
        <f>2079867.2</f>
        <v>2079867.2</v>
      </c>
      <c r="C19" s="116">
        <v>167642.47</v>
      </c>
      <c r="D19" s="116">
        <v>167642.47</v>
      </c>
      <c r="E19" s="116">
        <v>167642.47</v>
      </c>
      <c r="F19" s="117">
        <f>B19-C19</f>
        <v>1912224.73</v>
      </c>
      <c r="G19" s="111" t="s">
        <v>184</v>
      </c>
      <c r="H19" s="115">
        <v>3675484.55</v>
      </c>
      <c r="I19" s="48">
        <v>2069041.9</v>
      </c>
      <c r="J19" s="48">
        <v>2069041.9</v>
      </c>
      <c r="K19" s="118">
        <v>1922056.05</v>
      </c>
      <c r="L19" s="117">
        <f t="shared" ref="L19:L24" si="0">H19-I19</f>
        <v>1606442.65</v>
      </c>
    </row>
    <row r="20" spans="1:16">
      <c r="A20" s="106" t="s">
        <v>185</v>
      </c>
      <c r="B20" s="115">
        <v>1084651.67</v>
      </c>
      <c r="C20" s="116">
        <v>217771.35</v>
      </c>
      <c r="D20" s="116">
        <v>217771.35</v>
      </c>
      <c r="E20" s="116">
        <v>131322.75</v>
      </c>
      <c r="F20" s="117">
        <f>B20-C20</f>
        <v>866880.32</v>
      </c>
      <c r="G20" s="111" t="s">
        <v>186</v>
      </c>
      <c r="H20" s="115">
        <v>606894.6</v>
      </c>
      <c r="I20" s="48">
        <v>67131.02</v>
      </c>
      <c r="J20" s="48">
        <v>67131.02</v>
      </c>
      <c r="K20" s="118">
        <v>67131.02</v>
      </c>
      <c r="L20" s="117">
        <f t="shared" si="0"/>
        <v>539763.57999999996</v>
      </c>
    </row>
    <row r="21" spans="1:16">
      <c r="A21" s="105" t="s">
        <v>187</v>
      </c>
      <c r="B21" s="119">
        <v>885868.11</v>
      </c>
      <c r="C21" s="116">
        <v>305372.40999999997</v>
      </c>
      <c r="D21" s="116">
        <v>305372.40999999997</v>
      </c>
      <c r="E21" s="116">
        <v>271151.09999999998</v>
      </c>
      <c r="F21" s="117">
        <f>B21-C21</f>
        <v>580495.69999999995</v>
      </c>
      <c r="G21" s="113" t="s">
        <v>188</v>
      </c>
      <c r="H21" s="115">
        <v>2029870.83</v>
      </c>
      <c r="I21" s="48">
        <v>163702.37</v>
      </c>
      <c r="J21" s="48">
        <v>163702.37</v>
      </c>
      <c r="K21" s="118">
        <v>163702.37</v>
      </c>
      <c r="L21" s="117">
        <f t="shared" si="0"/>
        <v>1866168.46</v>
      </c>
    </row>
    <row r="22" spans="1:16">
      <c r="A22" s="105" t="s">
        <v>190</v>
      </c>
      <c r="B22" s="119">
        <v>90533.96</v>
      </c>
      <c r="C22" s="116"/>
      <c r="D22" s="116"/>
      <c r="E22" s="116"/>
      <c r="F22" s="117">
        <f>B22-C22</f>
        <v>90533.96</v>
      </c>
      <c r="G22" s="111" t="s">
        <v>554</v>
      </c>
      <c r="H22" s="115">
        <v>3561984.55</v>
      </c>
      <c r="I22" s="48">
        <v>1954787.42</v>
      </c>
      <c r="J22" s="48">
        <v>1954787.42</v>
      </c>
      <c r="K22" s="118">
        <v>1714962.17</v>
      </c>
      <c r="L22" s="117">
        <f t="shared" si="0"/>
        <v>1607197.13</v>
      </c>
    </row>
    <row r="23" spans="1:16">
      <c r="A23" s="105" t="s">
        <v>552</v>
      </c>
      <c r="B23" s="119">
        <v>388073.04</v>
      </c>
      <c r="C23" s="116">
        <v>3103.89</v>
      </c>
      <c r="D23" s="116">
        <v>3103.89</v>
      </c>
      <c r="E23" s="116">
        <v>3103.89</v>
      </c>
      <c r="F23" s="117">
        <f>B23-C23</f>
        <v>384969.14999999997</v>
      </c>
      <c r="G23" s="113" t="s">
        <v>196</v>
      </c>
      <c r="H23" s="115">
        <v>1676102.66</v>
      </c>
      <c r="I23" s="48">
        <v>149769.54999999999</v>
      </c>
      <c r="J23" s="48">
        <v>149769.54999999999</v>
      </c>
      <c r="K23" s="118">
        <v>144422.82</v>
      </c>
      <c r="L23" s="117">
        <f t="shared" si="0"/>
        <v>1526333.1099999999</v>
      </c>
    </row>
    <row r="24" spans="1:16">
      <c r="A24" s="105" t="s">
        <v>553</v>
      </c>
      <c r="B24" s="63">
        <v>3080</v>
      </c>
      <c r="G24" s="113" t="s">
        <v>198</v>
      </c>
      <c r="H24" s="116">
        <v>612189.84</v>
      </c>
      <c r="I24" s="116"/>
      <c r="J24" s="116"/>
      <c r="K24" s="116"/>
      <c r="L24" s="117">
        <f t="shared" si="0"/>
        <v>612189.84</v>
      </c>
    </row>
    <row r="25" spans="1:16">
      <c r="A25" s="135">
        <v>2245</v>
      </c>
    </row>
    <row r="26" spans="1:16">
      <c r="A26" s="132" t="s">
        <v>197</v>
      </c>
      <c r="B26" s="121">
        <f>SUM(B19:B24)</f>
        <v>4532073.9799999995</v>
      </c>
      <c r="C26" s="121">
        <f>SUM(C19:C24)</f>
        <v>693890.12</v>
      </c>
      <c r="D26" s="121">
        <f>SUM(D19:D24)</f>
        <v>693890.12</v>
      </c>
      <c r="E26" s="121">
        <f>SUM(E19:E24)</f>
        <v>573220.21</v>
      </c>
      <c r="F26" s="121">
        <f>SUM(F19:F24)</f>
        <v>3835103.86</v>
      </c>
      <c r="G26" s="132" t="s">
        <v>199</v>
      </c>
      <c r="H26" s="121">
        <f>SUM(H19:H24)</f>
        <v>12162527.029999999</v>
      </c>
      <c r="I26" s="122">
        <f>SUM(I19:I24)</f>
        <v>4404432.26</v>
      </c>
      <c r="J26" s="122">
        <f>SUM(J19:J24)</f>
        <v>4404432.26</v>
      </c>
      <c r="K26" s="121">
        <f>SUM(K19:K24)</f>
        <v>4012274.4299999997</v>
      </c>
      <c r="L26" s="121">
        <f>SUM(L19:L24)</f>
        <v>7758094.7699999996</v>
      </c>
    </row>
    <row r="27" spans="1:16">
      <c r="C27" s="133"/>
      <c r="D27" s="133"/>
      <c r="E27" s="133"/>
      <c r="F27" s="133"/>
      <c r="G27" s="134"/>
      <c r="H27" s="134"/>
      <c r="I27" s="133"/>
      <c r="J27" s="133"/>
      <c r="K27" s="133"/>
      <c r="L27" s="133"/>
    </row>
    <row r="28" spans="1:16">
      <c r="B28" s="63"/>
      <c r="C28" s="104" t="s">
        <v>551</v>
      </c>
      <c r="D28" s="133">
        <f>D26</f>
        <v>693890.12</v>
      </c>
      <c r="G28" s="135"/>
    </row>
    <row r="31" spans="1:16">
      <c r="A31" s="62" t="s">
        <v>200</v>
      </c>
      <c r="B31" s="105" t="s">
        <v>201</v>
      </c>
      <c r="C31" s="62" t="s">
        <v>202</v>
      </c>
      <c r="D31" s="62" t="s">
        <v>203</v>
      </c>
      <c r="E31" s="62" t="s">
        <v>204</v>
      </c>
      <c r="F31" s="62" t="s">
        <v>205</v>
      </c>
      <c r="H31" s="113" t="s">
        <v>200</v>
      </c>
      <c r="I31" s="113" t="s">
        <v>179</v>
      </c>
      <c r="J31" s="113" t="s">
        <v>180</v>
      </c>
      <c r="K31" s="113" t="s">
        <v>181</v>
      </c>
    </row>
    <row r="32" spans="1:16">
      <c r="A32" s="62" t="s">
        <v>206</v>
      </c>
      <c r="B32" s="62">
        <v>2221</v>
      </c>
      <c r="C32" s="136">
        <f>B32/B37</f>
        <v>0.58217562254259503</v>
      </c>
      <c r="D32" s="64">
        <f>C32*J34</f>
        <v>9507507.2681913506</v>
      </c>
      <c r="E32" s="63">
        <f>D10+J10</f>
        <v>6354971.0300000003</v>
      </c>
      <c r="F32" s="137">
        <f>D32-E32</f>
        <v>3152536.2381913504</v>
      </c>
      <c r="H32" s="113" t="s">
        <v>207</v>
      </c>
      <c r="I32" s="116">
        <f>C15+I15</f>
        <v>11232672.770000001</v>
      </c>
      <c r="J32" s="116">
        <f>D15+J15</f>
        <v>11232672.770000001</v>
      </c>
      <c r="K32" s="116">
        <f>E15+K15</f>
        <v>10446240.76</v>
      </c>
      <c r="N32" s="63"/>
    </row>
    <row r="33" spans="1:14">
      <c r="A33" s="62" t="s">
        <v>208</v>
      </c>
      <c r="B33" s="62">
        <v>648</v>
      </c>
      <c r="C33" s="136">
        <f>B33/B37</f>
        <v>0.16985583224115333</v>
      </c>
      <c r="D33" s="64">
        <f>C33*J34</f>
        <v>2773914.7725294889</v>
      </c>
      <c r="E33" s="63">
        <f>D11+J11</f>
        <v>1973123.5899999999</v>
      </c>
      <c r="F33" s="137">
        <f>D33-E33</f>
        <v>800791.18252948904</v>
      </c>
      <c r="H33" s="113" t="s">
        <v>209</v>
      </c>
      <c r="I33" s="116">
        <f>C26+I26</f>
        <v>5098322.38</v>
      </c>
      <c r="J33" s="116">
        <f>D26+J26</f>
        <v>5098322.38</v>
      </c>
      <c r="K33" s="116">
        <f>E26+K26</f>
        <v>4585494.6399999997</v>
      </c>
      <c r="N33" s="64"/>
    </row>
    <row r="34" spans="1:14">
      <c r="A34" s="62" t="s">
        <v>210</v>
      </c>
      <c r="B34" s="62">
        <v>480</v>
      </c>
      <c r="C34" s="136">
        <f>B34/B37</f>
        <v>0.12581913499344691</v>
      </c>
      <c r="D34" s="64">
        <f>C34*J34</f>
        <v>2054751.6833551771</v>
      </c>
      <c r="E34" s="63">
        <f>D12+J12</f>
        <v>1890186.92</v>
      </c>
      <c r="F34" s="137">
        <f>D34-E34</f>
        <v>164564.76335517713</v>
      </c>
      <c r="H34" s="138" t="s">
        <v>211</v>
      </c>
      <c r="I34" s="139">
        <f>I32+I33</f>
        <v>16330995.150000002</v>
      </c>
      <c r="J34" s="139">
        <f>J32+J33</f>
        <v>16330995.150000002</v>
      </c>
      <c r="K34" s="116">
        <f>K32+K33</f>
        <v>15031735.399999999</v>
      </c>
    </row>
    <row r="35" spans="1:14">
      <c r="A35" s="62" t="s">
        <v>212</v>
      </c>
      <c r="B35" s="62">
        <v>143</v>
      </c>
      <c r="C35" s="136">
        <f>B35/B37</f>
        <v>3.7483617300131063E-2</v>
      </c>
      <c r="D35" s="64">
        <f>C35*J34</f>
        <v>612144.77233289659</v>
      </c>
      <c r="E35" s="63">
        <f>D13+J13</f>
        <v>722487.24</v>
      </c>
      <c r="F35" s="137">
        <f>D35-E35</f>
        <v>-110342.4676671034</v>
      </c>
      <c r="J35" s="137"/>
    </row>
    <row r="36" spans="1:14">
      <c r="A36" s="62" t="s">
        <v>213</v>
      </c>
      <c r="B36" s="62">
        <v>323</v>
      </c>
      <c r="C36" s="136">
        <f>B36/B37</f>
        <v>8.4665792922673663E-2</v>
      </c>
      <c r="D36" s="64">
        <f>C36*J34</f>
        <v>1382676.653591088</v>
      </c>
      <c r="E36" s="63">
        <f>D14+J14</f>
        <v>291903.99</v>
      </c>
      <c r="F36" s="137">
        <f>D36-E36</f>
        <v>1090772.663591088</v>
      </c>
    </row>
    <row r="37" spans="1:14">
      <c r="A37" s="140" t="s">
        <v>214</v>
      </c>
      <c r="B37" s="141">
        <f>SUM(B32:B36)</f>
        <v>3815</v>
      </c>
      <c r="C37" s="142">
        <f>SUM(C32:C36)</f>
        <v>0.99999999999999989</v>
      </c>
      <c r="D37" s="143">
        <f>SUM(D32:D36)</f>
        <v>16330995.150000002</v>
      </c>
      <c r="E37" s="144">
        <f>SUM(E32:E36)</f>
        <v>11232672.77</v>
      </c>
      <c r="F37" s="144">
        <f>SUM(F32:F36)</f>
        <v>5098322.3800000018</v>
      </c>
      <c r="K37" s="63"/>
    </row>
    <row r="38" spans="1:14">
      <c r="D38" s="145">
        <f>SUM(E38:F38)</f>
        <v>1</v>
      </c>
      <c r="E38" s="146">
        <f>E37/D37</f>
        <v>0.6878131226436619</v>
      </c>
      <c r="F38" s="146">
        <f>F37/D37</f>
        <v>0.31218687735633804</v>
      </c>
      <c r="G38" s="137"/>
      <c r="H38" s="137"/>
    </row>
    <row r="39" spans="1:14">
      <c r="G39" s="62" t="s">
        <v>215</v>
      </c>
      <c r="H39" s="62" t="s">
        <v>216</v>
      </c>
      <c r="K39" s="63"/>
    </row>
    <row r="40" spans="1:14">
      <c r="A40" s="62" t="s">
        <v>217</v>
      </c>
      <c r="B40" s="64">
        <f>Míni!D20</f>
        <v>12865617.640000001</v>
      </c>
      <c r="C40" s="146">
        <f>D17/B40</f>
        <v>0.74992168972930862</v>
      </c>
      <c r="D40" s="62" t="s">
        <v>546</v>
      </c>
      <c r="G40" s="63">
        <f>D17</f>
        <v>9648205.7200000007</v>
      </c>
      <c r="H40" s="147">
        <f>E17</f>
        <v>0.85894122597145695</v>
      </c>
    </row>
    <row r="41" spans="1:14">
      <c r="B41" s="63"/>
      <c r="C41" s="146">
        <f>J17/B40</f>
        <v>0.12315514842239629</v>
      </c>
      <c r="D41" s="62" t="s">
        <v>2719</v>
      </c>
      <c r="G41" s="63">
        <f>J17</f>
        <v>1584467.05</v>
      </c>
      <c r="H41" s="147">
        <f>K17</f>
        <v>0.14105877402854317</v>
      </c>
      <c r="K41" s="66"/>
      <c r="L41" s="66"/>
    </row>
    <row r="42" spans="1:14">
      <c r="B42" s="148"/>
      <c r="C42" s="149"/>
      <c r="D42" s="149"/>
      <c r="E42" s="149"/>
      <c r="F42" s="150" t="s">
        <v>218</v>
      </c>
      <c r="G42" s="149">
        <f>SUM(G40:G41)</f>
        <v>11232672.770000001</v>
      </c>
      <c r="H42" s="151">
        <f>SUM(H40:H41)</f>
        <v>1</v>
      </c>
      <c r="K42" s="66"/>
      <c r="L42" s="66"/>
    </row>
    <row r="43" spans="1:14">
      <c r="B43" s="102"/>
      <c r="C43" s="130"/>
      <c r="D43" s="130"/>
      <c r="E43" s="130"/>
      <c r="K43" s="66"/>
      <c r="L43" s="66"/>
    </row>
    <row r="44" spans="1:14">
      <c r="B44" s="102"/>
      <c r="C44" s="130"/>
      <c r="D44" s="130"/>
      <c r="E44" s="130"/>
      <c r="K44" s="66"/>
      <c r="L44" s="66"/>
    </row>
    <row r="45" spans="1:14">
      <c r="B45" s="102"/>
      <c r="C45" s="130"/>
      <c r="D45" s="130"/>
      <c r="E45" s="130"/>
      <c r="K45" s="66"/>
      <c r="L45" s="66"/>
    </row>
    <row r="46" spans="1:14">
      <c r="B46" s="102"/>
      <c r="C46" s="130"/>
      <c r="D46" s="130"/>
      <c r="E46" s="130"/>
      <c r="K46" s="66"/>
      <c r="L46" s="66"/>
    </row>
    <row r="47" spans="1:14">
      <c r="B47" s="102"/>
      <c r="C47" s="130"/>
      <c r="D47" s="130"/>
      <c r="E47" s="130"/>
      <c r="K47" s="66"/>
      <c r="L47" s="66"/>
    </row>
    <row r="48" spans="1:14">
      <c r="B48" s="102"/>
      <c r="C48" s="130"/>
      <c r="D48" s="130"/>
      <c r="E48" s="130"/>
      <c r="K48" s="66"/>
      <c r="L48" s="66"/>
    </row>
    <row r="49" spans="1:10">
      <c r="A49" s="62" t="s">
        <v>109</v>
      </c>
      <c r="E49" s="62" t="s">
        <v>110</v>
      </c>
      <c r="J49" s="62" t="s">
        <v>111</v>
      </c>
    </row>
    <row r="50" spans="1:10">
      <c r="A50" s="62" t="s">
        <v>112</v>
      </c>
      <c r="E50" s="62" t="s">
        <v>113</v>
      </c>
      <c r="J50" s="62" t="s">
        <v>114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X86"/>
  <sheetViews>
    <sheetView workbookViewId="0">
      <selection activeCell="A43" sqref="A43"/>
    </sheetView>
  </sheetViews>
  <sheetFormatPr defaultRowHeight="11.25"/>
  <cols>
    <col min="1" max="1" width="10.28515625" style="60" customWidth="1"/>
    <col min="2" max="2" width="10.42578125" style="60" customWidth="1"/>
    <col min="3" max="3" width="12.7109375" style="60" customWidth="1"/>
    <col min="4" max="4" width="11.28515625" style="60" customWidth="1"/>
    <col min="5" max="5" width="11" style="60" customWidth="1"/>
    <col min="6" max="6" width="11.7109375" style="60" customWidth="1"/>
    <col min="7" max="7" width="10.140625" style="60" customWidth="1"/>
    <col min="8" max="8" width="11.85546875" style="60" customWidth="1"/>
    <col min="9" max="9" width="11.42578125" style="60" customWidth="1"/>
    <col min="10" max="10" width="11.85546875" style="60" customWidth="1"/>
    <col min="11" max="11" width="11" style="60" customWidth="1"/>
    <col min="12" max="12" width="12" style="60" customWidth="1"/>
    <col min="13" max="13" width="12.85546875" style="60" bestFit="1" customWidth="1"/>
    <col min="14" max="14" width="13.85546875" style="60" customWidth="1"/>
    <col min="15" max="15" width="4.85546875" style="60" bestFit="1" customWidth="1"/>
    <col min="16" max="16" width="12" style="60" bestFit="1" customWidth="1"/>
    <col min="17" max="17" width="10.28515625" style="60" bestFit="1" customWidth="1"/>
    <col min="18" max="18" width="12" style="60" bestFit="1" customWidth="1"/>
    <col min="19" max="19" width="12.5703125" style="60" bestFit="1" customWidth="1"/>
    <col min="20" max="20" width="12" style="60" bestFit="1" customWidth="1"/>
    <col min="21" max="22" width="11.7109375" style="60" bestFit="1" customWidth="1"/>
    <col min="23" max="23" width="11.140625" style="60" bestFit="1" customWidth="1"/>
    <col min="24" max="256" width="9.140625" style="60"/>
    <col min="257" max="257" width="10.28515625" style="60" customWidth="1"/>
    <col min="258" max="258" width="10.42578125" style="60" customWidth="1"/>
    <col min="259" max="259" width="12.7109375" style="60" customWidth="1"/>
    <col min="260" max="260" width="11.28515625" style="60" customWidth="1"/>
    <col min="261" max="261" width="11.85546875" style="60" customWidth="1"/>
    <col min="262" max="262" width="11.7109375" style="60" customWidth="1"/>
    <col min="263" max="263" width="10.7109375" style="60" customWidth="1"/>
    <col min="264" max="264" width="11.85546875" style="60" customWidth="1"/>
    <col min="265" max="265" width="11.42578125" style="60" customWidth="1"/>
    <col min="266" max="266" width="12.28515625" style="60" customWidth="1"/>
    <col min="267" max="267" width="11" style="60" customWidth="1"/>
    <col min="268" max="268" width="12" style="60" customWidth="1"/>
    <col min="269" max="269" width="12.85546875" style="60" bestFit="1" customWidth="1"/>
    <col min="270" max="270" width="13.85546875" style="60" customWidth="1"/>
    <col min="271" max="271" width="4.85546875" style="60" bestFit="1" customWidth="1"/>
    <col min="272" max="272" width="12" style="60" bestFit="1" customWidth="1"/>
    <col min="273" max="273" width="10.28515625" style="60" bestFit="1" customWidth="1"/>
    <col min="274" max="274" width="12" style="60" bestFit="1" customWidth="1"/>
    <col min="275" max="275" width="12.5703125" style="60" bestFit="1" customWidth="1"/>
    <col min="276" max="276" width="12" style="60" bestFit="1" customWidth="1"/>
    <col min="277" max="278" width="11.7109375" style="60" bestFit="1" customWidth="1"/>
    <col min="279" max="279" width="11.140625" style="60" bestFit="1" customWidth="1"/>
    <col min="280" max="512" width="9.140625" style="60"/>
    <col min="513" max="513" width="10.28515625" style="60" customWidth="1"/>
    <col min="514" max="514" width="10.42578125" style="60" customWidth="1"/>
    <col min="515" max="515" width="12.7109375" style="60" customWidth="1"/>
    <col min="516" max="516" width="11.28515625" style="60" customWidth="1"/>
    <col min="517" max="517" width="11.85546875" style="60" customWidth="1"/>
    <col min="518" max="518" width="11.7109375" style="60" customWidth="1"/>
    <col min="519" max="519" width="10.7109375" style="60" customWidth="1"/>
    <col min="520" max="520" width="11.85546875" style="60" customWidth="1"/>
    <col min="521" max="521" width="11.42578125" style="60" customWidth="1"/>
    <col min="522" max="522" width="12.28515625" style="60" customWidth="1"/>
    <col min="523" max="523" width="11" style="60" customWidth="1"/>
    <col min="524" max="524" width="12" style="60" customWidth="1"/>
    <col min="525" max="525" width="12.85546875" style="60" bestFit="1" customWidth="1"/>
    <col min="526" max="526" width="13.85546875" style="60" customWidth="1"/>
    <col min="527" max="527" width="4.85546875" style="60" bestFit="1" customWidth="1"/>
    <col min="528" max="528" width="12" style="60" bestFit="1" customWidth="1"/>
    <col min="529" max="529" width="10.28515625" style="60" bestFit="1" customWidth="1"/>
    <col min="530" max="530" width="12" style="60" bestFit="1" customWidth="1"/>
    <col min="531" max="531" width="12.5703125" style="60" bestFit="1" customWidth="1"/>
    <col min="532" max="532" width="12" style="60" bestFit="1" customWidth="1"/>
    <col min="533" max="534" width="11.7109375" style="60" bestFit="1" customWidth="1"/>
    <col min="535" max="535" width="11.140625" style="60" bestFit="1" customWidth="1"/>
    <col min="536" max="768" width="9.140625" style="60"/>
    <col min="769" max="769" width="10.28515625" style="60" customWidth="1"/>
    <col min="770" max="770" width="10.42578125" style="60" customWidth="1"/>
    <col min="771" max="771" width="12.7109375" style="60" customWidth="1"/>
    <col min="772" max="772" width="11.28515625" style="60" customWidth="1"/>
    <col min="773" max="773" width="11.85546875" style="60" customWidth="1"/>
    <col min="774" max="774" width="11.7109375" style="60" customWidth="1"/>
    <col min="775" max="775" width="10.7109375" style="60" customWidth="1"/>
    <col min="776" max="776" width="11.85546875" style="60" customWidth="1"/>
    <col min="777" max="777" width="11.42578125" style="60" customWidth="1"/>
    <col min="778" max="778" width="12.28515625" style="60" customWidth="1"/>
    <col min="779" max="779" width="11" style="60" customWidth="1"/>
    <col min="780" max="780" width="12" style="60" customWidth="1"/>
    <col min="781" max="781" width="12.85546875" style="60" bestFit="1" customWidth="1"/>
    <col min="782" max="782" width="13.85546875" style="60" customWidth="1"/>
    <col min="783" max="783" width="4.85546875" style="60" bestFit="1" customWidth="1"/>
    <col min="784" max="784" width="12" style="60" bestFit="1" customWidth="1"/>
    <col min="785" max="785" width="10.28515625" style="60" bestFit="1" customWidth="1"/>
    <col min="786" max="786" width="12" style="60" bestFit="1" customWidth="1"/>
    <col min="787" max="787" width="12.5703125" style="60" bestFit="1" customWidth="1"/>
    <col min="788" max="788" width="12" style="60" bestFit="1" customWidth="1"/>
    <col min="789" max="790" width="11.7109375" style="60" bestFit="1" customWidth="1"/>
    <col min="791" max="791" width="11.140625" style="60" bestFit="1" customWidth="1"/>
    <col min="792" max="1024" width="9.140625" style="60"/>
    <col min="1025" max="1025" width="10.28515625" style="60" customWidth="1"/>
    <col min="1026" max="1026" width="10.42578125" style="60" customWidth="1"/>
    <col min="1027" max="1027" width="12.7109375" style="60" customWidth="1"/>
    <col min="1028" max="1028" width="11.28515625" style="60" customWidth="1"/>
    <col min="1029" max="1029" width="11.85546875" style="60" customWidth="1"/>
    <col min="1030" max="1030" width="11.7109375" style="60" customWidth="1"/>
    <col min="1031" max="1031" width="10.7109375" style="60" customWidth="1"/>
    <col min="1032" max="1032" width="11.85546875" style="60" customWidth="1"/>
    <col min="1033" max="1033" width="11.42578125" style="60" customWidth="1"/>
    <col min="1034" max="1034" width="12.28515625" style="60" customWidth="1"/>
    <col min="1035" max="1035" width="11" style="60" customWidth="1"/>
    <col min="1036" max="1036" width="12" style="60" customWidth="1"/>
    <col min="1037" max="1037" width="12.85546875" style="60" bestFit="1" customWidth="1"/>
    <col min="1038" max="1038" width="13.85546875" style="60" customWidth="1"/>
    <col min="1039" max="1039" width="4.85546875" style="60" bestFit="1" customWidth="1"/>
    <col min="1040" max="1040" width="12" style="60" bestFit="1" customWidth="1"/>
    <col min="1041" max="1041" width="10.28515625" style="60" bestFit="1" customWidth="1"/>
    <col min="1042" max="1042" width="12" style="60" bestFit="1" customWidth="1"/>
    <col min="1043" max="1043" width="12.5703125" style="60" bestFit="1" customWidth="1"/>
    <col min="1044" max="1044" width="12" style="60" bestFit="1" customWidth="1"/>
    <col min="1045" max="1046" width="11.7109375" style="60" bestFit="1" customWidth="1"/>
    <col min="1047" max="1047" width="11.140625" style="60" bestFit="1" customWidth="1"/>
    <col min="1048" max="1280" width="9.140625" style="60"/>
    <col min="1281" max="1281" width="10.28515625" style="60" customWidth="1"/>
    <col min="1282" max="1282" width="10.42578125" style="60" customWidth="1"/>
    <col min="1283" max="1283" width="12.7109375" style="60" customWidth="1"/>
    <col min="1284" max="1284" width="11.28515625" style="60" customWidth="1"/>
    <col min="1285" max="1285" width="11.85546875" style="60" customWidth="1"/>
    <col min="1286" max="1286" width="11.7109375" style="60" customWidth="1"/>
    <col min="1287" max="1287" width="10.7109375" style="60" customWidth="1"/>
    <col min="1288" max="1288" width="11.85546875" style="60" customWidth="1"/>
    <col min="1289" max="1289" width="11.42578125" style="60" customWidth="1"/>
    <col min="1290" max="1290" width="12.28515625" style="60" customWidth="1"/>
    <col min="1291" max="1291" width="11" style="60" customWidth="1"/>
    <col min="1292" max="1292" width="12" style="60" customWidth="1"/>
    <col min="1293" max="1293" width="12.85546875" style="60" bestFit="1" customWidth="1"/>
    <col min="1294" max="1294" width="13.85546875" style="60" customWidth="1"/>
    <col min="1295" max="1295" width="4.85546875" style="60" bestFit="1" customWidth="1"/>
    <col min="1296" max="1296" width="12" style="60" bestFit="1" customWidth="1"/>
    <col min="1297" max="1297" width="10.28515625" style="60" bestFit="1" customWidth="1"/>
    <col min="1298" max="1298" width="12" style="60" bestFit="1" customWidth="1"/>
    <col min="1299" max="1299" width="12.5703125" style="60" bestFit="1" customWidth="1"/>
    <col min="1300" max="1300" width="12" style="60" bestFit="1" customWidth="1"/>
    <col min="1301" max="1302" width="11.7109375" style="60" bestFit="1" customWidth="1"/>
    <col min="1303" max="1303" width="11.140625" style="60" bestFit="1" customWidth="1"/>
    <col min="1304" max="1536" width="9.140625" style="60"/>
    <col min="1537" max="1537" width="10.28515625" style="60" customWidth="1"/>
    <col min="1538" max="1538" width="10.42578125" style="60" customWidth="1"/>
    <col min="1539" max="1539" width="12.7109375" style="60" customWidth="1"/>
    <col min="1540" max="1540" width="11.28515625" style="60" customWidth="1"/>
    <col min="1541" max="1541" width="11.85546875" style="60" customWidth="1"/>
    <col min="1542" max="1542" width="11.7109375" style="60" customWidth="1"/>
    <col min="1543" max="1543" width="10.7109375" style="60" customWidth="1"/>
    <col min="1544" max="1544" width="11.85546875" style="60" customWidth="1"/>
    <col min="1545" max="1545" width="11.42578125" style="60" customWidth="1"/>
    <col min="1546" max="1546" width="12.28515625" style="60" customWidth="1"/>
    <col min="1547" max="1547" width="11" style="60" customWidth="1"/>
    <col min="1548" max="1548" width="12" style="60" customWidth="1"/>
    <col min="1549" max="1549" width="12.85546875" style="60" bestFit="1" customWidth="1"/>
    <col min="1550" max="1550" width="13.85546875" style="60" customWidth="1"/>
    <col min="1551" max="1551" width="4.85546875" style="60" bestFit="1" customWidth="1"/>
    <col min="1552" max="1552" width="12" style="60" bestFit="1" customWidth="1"/>
    <col min="1553" max="1553" width="10.28515625" style="60" bestFit="1" customWidth="1"/>
    <col min="1554" max="1554" width="12" style="60" bestFit="1" customWidth="1"/>
    <col min="1555" max="1555" width="12.5703125" style="60" bestFit="1" customWidth="1"/>
    <col min="1556" max="1556" width="12" style="60" bestFit="1" customWidth="1"/>
    <col min="1557" max="1558" width="11.7109375" style="60" bestFit="1" customWidth="1"/>
    <col min="1559" max="1559" width="11.140625" style="60" bestFit="1" customWidth="1"/>
    <col min="1560" max="1792" width="9.140625" style="60"/>
    <col min="1793" max="1793" width="10.28515625" style="60" customWidth="1"/>
    <col min="1794" max="1794" width="10.42578125" style="60" customWidth="1"/>
    <col min="1795" max="1795" width="12.7109375" style="60" customWidth="1"/>
    <col min="1796" max="1796" width="11.28515625" style="60" customWidth="1"/>
    <col min="1797" max="1797" width="11.85546875" style="60" customWidth="1"/>
    <col min="1798" max="1798" width="11.7109375" style="60" customWidth="1"/>
    <col min="1799" max="1799" width="10.7109375" style="60" customWidth="1"/>
    <col min="1800" max="1800" width="11.85546875" style="60" customWidth="1"/>
    <col min="1801" max="1801" width="11.42578125" style="60" customWidth="1"/>
    <col min="1802" max="1802" width="12.28515625" style="60" customWidth="1"/>
    <col min="1803" max="1803" width="11" style="60" customWidth="1"/>
    <col min="1804" max="1804" width="12" style="60" customWidth="1"/>
    <col min="1805" max="1805" width="12.85546875" style="60" bestFit="1" customWidth="1"/>
    <col min="1806" max="1806" width="13.85546875" style="60" customWidth="1"/>
    <col min="1807" max="1807" width="4.85546875" style="60" bestFit="1" customWidth="1"/>
    <col min="1808" max="1808" width="12" style="60" bestFit="1" customWidth="1"/>
    <col min="1809" max="1809" width="10.28515625" style="60" bestFit="1" customWidth="1"/>
    <col min="1810" max="1810" width="12" style="60" bestFit="1" customWidth="1"/>
    <col min="1811" max="1811" width="12.5703125" style="60" bestFit="1" customWidth="1"/>
    <col min="1812" max="1812" width="12" style="60" bestFit="1" customWidth="1"/>
    <col min="1813" max="1814" width="11.7109375" style="60" bestFit="1" customWidth="1"/>
    <col min="1815" max="1815" width="11.140625" style="60" bestFit="1" customWidth="1"/>
    <col min="1816" max="2048" width="9.140625" style="60"/>
    <col min="2049" max="2049" width="10.28515625" style="60" customWidth="1"/>
    <col min="2050" max="2050" width="10.42578125" style="60" customWidth="1"/>
    <col min="2051" max="2051" width="12.7109375" style="60" customWidth="1"/>
    <col min="2052" max="2052" width="11.28515625" style="60" customWidth="1"/>
    <col min="2053" max="2053" width="11.85546875" style="60" customWidth="1"/>
    <col min="2054" max="2054" width="11.7109375" style="60" customWidth="1"/>
    <col min="2055" max="2055" width="10.7109375" style="60" customWidth="1"/>
    <col min="2056" max="2056" width="11.85546875" style="60" customWidth="1"/>
    <col min="2057" max="2057" width="11.42578125" style="60" customWidth="1"/>
    <col min="2058" max="2058" width="12.28515625" style="60" customWidth="1"/>
    <col min="2059" max="2059" width="11" style="60" customWidth="1"/>
    <col min="2060" max="2060" width="12" style="60" customWidth="1"/>
    <col min="2061" max="2061" width="12.85546875" style="60" bestFit="1" customWidth="1"/>
    <col min="2062" max="2062" width="13.85546875" style="60" customWidth="1"/>
    <col min="2063" max="2063" width="4.85546875" style="60" bestFit="1" customWidth="1"/>
    <col min="2064" max="2064" width="12" style="60" bestFit="1" customWidth="1"/>
    <col min="2065" max="2065" width="10.28515625" style="60" bestFit="1" customWidth="1"/>
    <col min="2066" max="2066" width="12" style="60" bestFit="1" customWidth="1"/>
    <col min="2067" max="2067" width="12.5703125" style="60" bestFit="1" customWidth="1"/>
    <col min="2068" max="2068" width="12" style="60" bestFit="1" customWidth="1"/>
    <col min="2069" max="2070" width="11.7109375" style="60" bestFit="1" customWidth="1"/>
    <col min="2071" max="2071" width="11.140625" style="60" bestFit="1" customWidth="1"/>
    <col min="2072" max="2304" width="9.140625" style="60"/>
    <col min="2305" max="2305" width="10.28515625" style="60" customWidth="1"/>
    <col min="2306" max="2306" width="10.42578125" style="60" customWidth="1"/>
    <col min="2307" max="2307" width="12.7109375" style="60" customWidth="1"/>
    <col min="2308" max="2308" width="11.28515625" style="60" customWidth="1"/>
    <col min="2309" max="2309" width="11.85546875" style="60" customWidth="1"/>
    <col min="2310" max="2310" width="11.7109375" style="60" customWidth="1"/>
    <col min="2311" max="2311" width="10.7109375" style="60" customWidth="1"/>
    <col min="2312" max="2312" width="11.85546875" style="60" customWidth="1"/>
    <col min="2313" max="2313" width="11.42578125" style="60" customWidth="1"/>
    <col min="2314" max="2314" width="12.28515625" style="60" customWidth="1"/>
    <col min="2315" max="2315" width="11" style="60" customWidth="1"/>
    <col min="2316" max="2316" width="12" style="60" customWidth="1"/>
    <col min="2317" max="2317" width="12.85546875" style="60" bestFit="1" customWidth="1"/>
    <col min="2318" max="2318" width="13.85546875" style="60" customWidth="1"/>
    <col min="2319" max="2319" width="4.85546875" style="60" bestFit="1" customWidth="1"/>
    <col min="2320" max="2320" width="12" style="60" bestFit="1" customWidth="1"/>
    <col min="2321" max="2321" width="10.28515625" style="60" bestFit="1" customWidth="1"/>
    <col min="2322" max="2322" width="12" style="60" bestFit="1" customWidth="1"/>
    <col min="2323" max="2323" width="12.5703125" style="60" bestFit="1" customWidth="1"/>
    <col min="2324" max="2324" width="12" style="60" bestFit="1" customWidth="1"/>
    <col min="2325" max="2326" width="11.7109375" style="60" bestFit="1" customWidth="1"/>
    <col min="2327" max="2327" width="11.140625" style="60" bestFit="1" customWidth="1"/>
    <col min="2328" max="2560" width="9.140625" style="60"/>
    <col min="2561" max="2561" width="10.28515625" style="60" customWidth="1"/>
    <col min="2562" max="2562" width="10.42578125" style="60" customWidth="1"/>
    <col min="2563" max="2563" width="12.7109375" style="60" customWidth="1"/>
    <col min="2564" max="2564" width="11.28515625" style="60" customWidth="1"/>
    <col min="2565" max="2565" width="11.85546875" style="60" customWidth="1"/>
    <col min="2566" max="2566" width="11.7109375" style="60" customWidth="1"/>
    <col min="2567" max="2567" width="10.7109375" style="60" customWidth="1"/>
    <col min="2568" max="2568" width="11.85546875" style="60" customWidth="1"/>
    <col min="2569" max="2569" width="11.42578125" style="60" customWidth="1"/>
    <col min="2570" max="2570" width="12.28515625" style="60" customWidth="1"/>
    <col min="2571" max="2571" width="11" style="60" customWidth="1"/>
    <col min="2572" max="2572" width="12" style="60" customWidth="1"/>
    <col min="2573" max="2573" width="12.85546875" style="60" bestFit="1" customWidth="1"/>
    <col min="2574" max="2574" width="13.85546875" style="60" customWidth="1"/>
    <col min="2575" max="2575" width="4.85546875" style="60" bestFit="1" customWidth="1"/>
    <col min="2576" max="2576" width="12" style="60" bestFit="1" customWidth="1"/>
    <col min="2577" max="2577" width="10.28515625" style="60" bestFit="1" customWidth="1"/>
    <col min="2578" max="2578" width="12" style="60" bestFit="1" customWidth="1"/>
    <col min="2579" max="2579" width="12.5703125" style="60" bestFit="1" customWidth="1"/>
    <col min="2580" max="2580" width="12" style="60" bestFit="1" customWidth="1"/>
    <col min="2581" max="2582" width="11.7109375" style="60" bestFit="1" customWidth="1"/>
    <col min="2583" max="2583" width="11.140625" style="60" bestFit="1" customWidth="1"/>
    <col min="2584" max="2816" width="9.140625" style="60"/>
    <col min="2817" max="2817" width="10.28515625" style="60" customWidth="1"/>
    <col min="2818" max="2818" width="10.42578125" style="60" customWidth="1"/>
    <col min="2819" max="2819" width="12.7109375" style="60" customWidth="1"/>
    <col min="2820" max="2820" width="11.28515625" style="60" customWidth="1"/>
    <col min="2821" max="2821" width="11.85546875" style="60" customWidth="1"/>
    <col min="2822" max="2822" width="11.7109375" style="60" customWidth="1"/>
    <col min="2823" max="2823" width="10.7109375" style="60" customWidth="1"/>
    <col min="2824" max="2824" width="11.85546875" style="60" customWidth="1"/>
    <col min="2825" max="2825" width="11.42578125" style="60" customWidth="1"/>
    <col min="2826" max="2826" width="12.28515625" style="60" customWidth="1"/>
    <col min="2827" max="2827" width="11" style="60" customWidth="1"/>
    <col min="2828" max="2828" width="12" style="60" customWidth="1"/>
    <col min="2829" max="2829" width="12.85546875" style="60" bestFit="1" customWidth="1"/>
    <col min="2830" max="2830" width="13.85546875" style="60" customWidth="1"/>
    <col min="2831" max="2831" width="4.85546875" style="60" bestFit="1" customWidth="1"/>
    <col min="2832" max="2832" width="12" style="60" bestFit="1" customWidth="1"/>
    <col min="2833" max="2833" width="10.28515625" style="60" bestFit="1" customWidth="1"/>
    <col min="2834" max="2834" width="12" style="60" bestFit="1" customWidth="1"/>
    <col min="2835" max="2835" width="12.5703125" style="60" bestFit="1" customWidth="1"/>
    <col min="2836" max="2836" width="12" style="60" bestFit="1" customWidth="1"/>
    <col min="2837" max="2838" width="11.7109375" style="60" bestFit="1" customWidth="1"/>
    <col min="2839" max="2839" width="11.140625" style="60" bestFit="1" customWidth="1"/>
    <col min="2840" max="3072" width="9.140625" style="60"/>
    <col min="3073" max="3073" width="10.28515625" style="60" customWidth="1"/>
    <col min="3074" max="3074" width="10.42578125" style="60" customWidth="1"/>
    <col min="3075" max="3075" width="12.7109375" style="60" customWidth="1"/>
    <col min="3076" max="3076" width="11.28515625" style="60" customWidth="1"/>
    <col min="3077" max="3077" width="11.85546875" style="60" customWidth="1"/>
    <col min="3078" max="3078" width="11.7109375" style="60" customWidth="1"/>
    <col min="3079" max="3079" width="10.7109375" style="60" customWidth="1"/>
    <col min="3080" max="3080" width="11.85546875" style="60" customWidth="1"/>
    <col min="3081" max="3081" width="11.42578125" style="60" customWidth="1"/>
    <col min="3082" max="3082" width="12.28515625" style="60" customWidth="1"/>
    <col min="3083" max="3083" width="11" style="60" customWidth="1"/>
    <col min="3084" max="3084" width="12" style="60" customWidth="1"/>
    <col min="3085" max="3085" width="12.85546875" style="60" bestFit="1" customWidth="1"/>
    <col min="3086" max="3086" width="13.85546875" style="60" customWidth="1"/>
    <col min="3087" max="3087" width="4.85546875" style="60" bestFit="1" customWidth="1"/>
    <col min="3088" max="3088" width="12" style="60" bestFit="1" customWidth="1"/>
    <col min="3089" max="3089" width="10.28515625" style="60" bestFit="1" customWidth="1"/>
    <col min="3090" max="3090" width="12" style="60" bestFit="1" customWidth="1"/>
    <col min="3091" max="3091" width="12.5703125" style="60" bestFit="1" customWidth="1"/>
    <col min="3092" max="3092" width="12" style="60" bestFit="1" customWidth="1"/>
    <col min="3093" max="3094" width="11.7109375" style="60" bestFit="1" customWidth="1"/>
    <col min="3095" max="3095" width="11.140625" style="60" bestFit="1" customWidth="1"/>
    <col min="3096" max="3328" width="9.140625" style="60"/>
    <col min="3329" max="3329" width="10.28515625" style="60" customWidth="1"/>
    <col min="3330" max="3330" width="10.42578125" style="60" customWidth="1"/>
    <col min="3331" max="3331" width="12.7109375" style="60" customWidth="1"/>
    <col min="3332" max="3332" width="11.28515625" style="60" customWidth="1"/>
    <col min="3333" max="3333" width="11.85546875" style="60" customWidth="1"/>
    <col min="3334" max="3334" width="11.7109375" style="60" customWidth="1"/>
    <col min="3335" max="3335" width="10.7109375" style="60" customWidth="1"/>
    <col min="3336" max="3336" width="11.85546875" style="60" customWidth="1"/>
    <col min="3337" max="3337" width="11.42578125" style="60" customWidth="1"/>
    <col min="3338" max="3338" width="12.28515625" style="60" customWidth="1"/>
    <col min="3339" max="3339" width="11" style="60" customWidth="1"/>
    <col min="3340" max="3340" width="12" style="60" customWidth="1"/>
    <col min="3341" max="3341" width="12.85546875" style="60" bestFit="1" customWidth="1"/>
    <col min="3342" max="3342" width="13.85546875" style="60" customWidth="1"/>
    <col min="3343" max="3343" width="4.85546875" style="60" bestFit="1" customWidth="1"/>
    <col min="3344" max="3344" width="12" style="60" bestFit="1" customWidth="1"/>
    <col min="3345" max="3345" width="10.28515625" style="60" bestFit="1" customWidth="1"/>
    <col min="3346" max="3346" width="12" style="60" bestFit="1" customWidth="1"/>
    <col min="3347" max="3347" width="12.5703125" style="60" bestFit="1" customWidth="1"/>
    <col min="3348" max="3348" width="12" style="60" bestFit="1" customWidth="1"/>
    <col min="3349" max="3350" width="11.7109375" style="60" bestFit="1" customWidth="1"/>
    <col min="3351" max="3351" width="11.140625" style="60" bestFit="1" customWidth="1"/>
    <col min="3352" max="3584" width="9.140625" style="60"/>
    <col min="3585" max="3585" width="10.28515625" style="60" customWidth="1"/>
    <col min="3586" max="3586" width="10.42578125" style="60" customWidth="1"/>
    <col min="3587" max="3587" width="12.7109375" style="60" customWidth="1"/>
    <col min="3588" max="3588" width="11.28515625" style="60" customWidth="1"/>
    <col min="3589" max="3589" width="11.85546875" style="60" customWidth="1"/>
    <col min="3590" max="3590" width="11.7109375" style="60" customWidth="1"/>
    <col min="3591" max="3591" width="10.7109375" style="60" customWidth="1"/>
    <col min="3592" max="3592" width="11.85546875" style="60" customWidth="1"/>
    <col min="3593" max="3593" width="11.42578125" style="60" customWidth="1"/>
    <col min="3594" max="3594" width="12.28515625" style="60" customWidth="1"/>
    <col min="3595" max="3595" width="11" style="60" customWidth="1"/>
    <col min="3596" max="3596" width="12" style="60" customWidth="1"/>
    <col min="3597" max="3597" width="12.85546875" style="60" bestFit="1" customWidth="1"/>
    <col min="3598" max="3598" width="13.85546875" style="60" customWidth="1"/>
    <col min="3599" max="3599" width="4.85546875" style="60" bestFit="1" customWidth="1"/>
    <col min="3600" max="3600" width="12" style="60" bestFit="1" customWidth="1"/>
    <col min="3601" max="3601" width="10.28515625" style="60" bestFit="1" customWidth="1"/>
    <col min="3602" max="3602" width="12" style="60" bestFit="1" customWidth="1"/>
    <col min="3603" max="3603" width="12.5703125" style="60" bestFit="1" customWidth="1"/>
    <col min="3604" max="3604" width="12" style="60" bestFit="1" customWidth="1"/>
    <col min="3605" max="3606" width="11.7109375" style="60" bestFit="1" customWidth="1"/>
    <col min="3607" max="3607" width="11.140625" style="60" bestFit="1" customWidth="1"/>
    <col min="3608" max="3840" width="9.140625" style="60"/>
    <col min="3841" max="3841" width="10.28515625" style="60" customWidth="1"/>
    <col min="3842" max="3842" width="10.42578125" style="60" customWidth="1"/>
    <col min="3843" max="3843" width="12.7109375" style="60" customWidth="1"/>
    <col min="3844" max="3844" width="11.28515625" style="60" customWidth="1"/>
    <col min="3845" max="3845" width="11.85546875" style="60" customWidth="1"/>
    <col min="3846" max="3846" width="11.7109375" style="60" customWidth="1"/>
    <col min="3847" max="3847" width="10.7109375" style="60" customWidth="1"/>
    <col min="3848" max="3848" width="11.85546875" style="60" customWidth="1"/>
    <col min="3849" max="3849" width="11.42578125" style="60" customWidth="1"/>
    <col min="3850" max="3850" width="12.28515625" style="60" customWidth="1"/>
    <col min="3851" max="3851" width="11" style="60" customWidth="1"/>
    <col min="3852" max="3852" width="12" style="60" customWidth="1"/>
    <col min="3853" max="3853" width="12.85546875" style="60" bestFit="1" customWidth="1"/>
    <col min="3854" max="3854" width="13.85546875" style="60" customWidth="1"/>
    <col min="3855" max="3855" width="4.85546875" style="60" bestFit="1" customWidth="1"/>
    <col min="3856" max="3856" width="12" style="60" bestFit="1" customWidth="1"/>
    <col min="3857" max="3857" width="10.28515625" style="60" bestFit="1" customWidth="1"/>
    <col min="3858" max="3858" width="12" style="60" bestFit="1" customWidth="1"/>
    <col min="3859" max="3859" width="12.5703125" style="60" bestFit="1" customWidth="1"/>
    <col min="3860" max="3860" width="12" style="60" bestFit="1" customWidth="1"/>
    <col min="3861" max="3862" width="11.7109375" style="60" bestFit="1" customWidth="1"/>
    <col min="3863" max="3863" width="11.140625" style="60" bestFit="1" customWidth="1"/>
    <col min="3864" max="4096" width="9.140625" style="60"/>
    <col min="4097" max="4097" width="10.28515625" style="60" customWidth="1"/>
    <col min="4098" max="4098" width="10.42578125" style="60" customWidth="1"/>
    <col min="4099" max="4099" width="12.7109375" style="60" customWidth="1"/>
    <col min="4100" max="4100" width="11.28515625" style="60" customWidth="1"/>
    <col min="4101" max="4101" width="11.85546875" style="60" customWidth="1"/>
    <col min="4102" max="4102" width="11.7109375" style="60" customWidth="1"/>
    <col min="4103" max="4103" width="10.7109375" style="60" customWidth="1"/>
    <col min="4104" max="4104" width="11.85546875" style="60" customWidth="1"/>
    <col min="4105" max="4105" width="11.42578125" style="60" customWidth="1"/>
    <col min="4106" max="4106" width="12.28515625" style="60" customWidth="1"/>
    <col min="4107" max="4107" width="11" style="60" customWidth="1"/>
    <col min="4108" max="4108" width="12" style="60" customWidth="1"/>
    <col min="4109" max="4109" width="12.85546875" style="60" bestFit="1" customWidth="1"/>
    <col min="4110" max="4110" width="13.85546875" style="60" customWidth="1"/>
    <col min="4111" max="4111" width="4.85546875" style="60" bestFit="1" customWidth="1"/>
    <col min="4112" max="4112" width="12" style="60" bestFit="1" customWidth="1"/>
    <col min="4113" max="4113" width="10.28515625" style="60" bestFit="1" customWidth="1"/>
    <col min="4114" max="4114" width="12" style="60" bestFit="1" customWidth="1"/>
    <col min="4115" max="4115" width="12.5703125" style="60" bestFit="1" customWidth="1"/>
    <col min="4116" max="4116" width="12" style="60" bestFit="1" customWidth="1"/>
    <col min="4117" max="4118" width="11.7109375" style="60" bestFit="1" customWidth="1"/>
    <col min="4119" max="4119" width="11.140625" style="60" bestFit="1" customWidth="1"/>
    <col min="4120" max="4352" width="9.140625" style="60"/>
    <col min="4353" max="4353" width="10.28515625" style="60" customWidth="1"/>
    <col min="4354" max="4354" width="10.42578125" style="60" customWidth="1"/>
    <col min="4355" max="4355" width="12.7109375" style="60" customWidth="1"/>
    <col min="4356" max="4356" width="11.28515625" style="60" customWidth="1"/>
    <col min="4357" max="4357" width="11.85546875" style="60" customWidth="1"/>
    <col min="4358" max="4358" width="11.7109375" style="60" customWidth="1"/>
    <col min="4359" max="4359" width="10.7109375" style="60" customWidth="1"/>
    <col min="4360" max="4360" width="11.85546875" style="60" customWidth="1"/>
    <col min="4361" max="4361" width="11.42578125" style="60" customWidth="1"/>
    <col min="4362" max="4362" width="12.28515625" style="60" customWidth="1"/>
    <col min="4363" max="4363" width="11" style="60" customWidth="1"/>
    <col min="4364" max="4364" width="12" style="60" customWidth="1"/>
    <col min="4365" max="4365" width="12.85546875" style="60" bestFit="1" customWidth="1"/>
    <col min="4366" max="4366" width="13.85546875" style="60" customWidth="1"/>
    <col min="4367" max="4367" width="4.85546875" style="60" bestFit="1" customWidth="1"/>
    <col min="4368" max="4368" width="12" style="60" bestFit="1" customWidth="1"/>
    <col min="4369" max="4369" width="10.28515625" style="60" bestFit="1" customWidth="1"/>
    <col min="4370" max="4370" width="12" style="60" bestFit="1" customWidth="1"/>
    <col min="4371" max="4371" width="12.5703125" style="60" bestFit="1" customWidth="1"/>
    <col min="4372" max="4372" width="12" style="60" bestFit="1" customWidth="1"/>
    <col min="4373" max="4374" width="11.7109375" style="60" bestFit="1" customWidth="1"/>
    <col min="4375" max="4375" width="11.140625" style="60" bestFit="1" customWidth="1"/>
    <col min="4376" max="4608" width="9.140625" style="60"/>
    <col min="4609" max="4609" width="10.28515625" style="60" customWidth="1"/>
    <col min="4610" max="4610" width="10.42578125" style="60" customWidth="1"/>
    <col min="4611" max="4611" width="12.7109375" style="60" customWidth="1"/>
    <col min="4612" max="4612" width="11.28515625" style="60" customWidth="1"/>
    <col min="4613" max="4613" width="11.85546875" style="60" customWidth="1"/>
    <col min="4614" max="4614" width="11.7109375" style="60" customWidth="1"/>
    <col min="4615" max="4615" width="10.7109375" style="60" customWidth="1"/>
    <col min="4616" max="4616" width="11.85546875" style="60" customWidth="1"/>
    <col min="4617" max="4617" width="11.42578125" style="60" customWidth="1"/>
    <col min="4618" max="4618" width="12.28515625" style="60" customWidth="1"/>
    <col min="4619" max="4619" width="11" style="60" customWidth="1"/>
    <col min="4620" max="4620" width="12" style="60" customWidth="1"/>
    <col min="4621" max="4621" width="12.85546875" style="60" bestFit="1" customWidth="1"/>
    <col min="4622" max="4622" width="13.85546875" style="60" customWidth="1"/>
    <col min="4623" max="4623" width="4.85546875" style="60" bestFit="1" customWidth="1"/>
    <col min="4624" max="4624" width="12" style="60" bestFit="1" customWidth="1"/>
    <col min="4625" max="4625" width="10.28515625" style="60" bestFit="1" customWidth="1"/>
    <col min="4626" max="4626" width="12" style="60" bestFit="1" customWidth="1"/>
    <col min="4627" max="4627" width="12.5703125" style="60" bestFit="1" customWidth="1"/>
    <col min="4628" max="4628" width="12" style="60" bestFit="1" customWidth="1"/>
    <col min="4629" max="4630" width="11.7109375" style="60" bestFit="1" customWidth="1"/>
    <col min="4631" max="4631" width="11.140625" style="60" bestFit="1" customWidth="1"/>
    <col min="4632" max="4864" width="9.140625" style="60"/>
    <col min="4865" max="4865" width="10.28515625" style="60" customWidth="1"/>
    <col min="4866" max="4866" width="10.42578125" style="60" customWidth="1"/>
    <col min="4867" max="4867" width="12.7109375" style="60" customWidth="1"/>
    <col min="4868" max="4868" width="11.28515625" style="60" customWidth="1"/>
    <col min="4869" max="4869" width="11.85546875" style="60" customWidth="1"/>
    <col min="4870" max="4870" width="11.7109375" style="60" customWidth="1"/>
    <col min="4871" max="4871" width="10.7109375" style="60" customWidth="1"/>
    <col min="4872" max="4872" width="11.85546875" style="60" customWidth="1"/>
    <col min="4873" max="4873" width="11.42578125" style="60" customWidth="1"/>
    <col min="4874" max="4874" width="12.28515625" style="60" customWidth="1"/>
    <col min="4875" max="4875" width="11" style="60" customWidth="1"/>
    <col min="4876" max="4876" width="12" style="60" customWidth="1"/>
    <col min="4877" max="4877" width="12.85546875" style="60" bestFit="1" customWidth="1"/>
    <col min="4878" max="4878" width="13.85546875" style="60" customWidth="1"/>
    <col min="4879" max="4879" width="4.85546875" style="60" bestFit="1" customWidth="1"/>
    <col min="4880" max="4880" width="12" style="60" bestFit="1" customWidth="1"/>
    <col min="4881" max="4881" width="10.28515625" style="60" bestFit="1" customWidth="1"/>
    <col min="4882" max="4882" width="12" style="60" bestFit="1" customWidth="1"/>
    <col min="4883" max="4883" width="12.5703125" style="60" bestFit="1" customWidth="1"/>
    <col min="4884" max="4884" width="12" style="60" bestFit="1" customWidth="1"/>
    <col min="4885" max="4886" width="11.7109375" style="60" bestFit="1" customWidth="1"/>
    <col min="4887" max="4887" width="11.140625" style="60" bestFit="1" customWidth="1"/>
    <col min="4888" max="5120" width="9.140625" style="60"/>
    <col min="5121" max="5121" width="10.28515625" style="60" customWidth="1"/>
    <col min="5122" max="5122" width="10.42578125" style="60" customWidth="1"/>
    <col min="5123" max="5123" width="12.7109375" style="60" customWidth="1"/>
    <col min="5124" max="5124" width="11.28515625" style="60" customWidth="1"/>
    <col min="5125" max="5125" width="11.85546875" style="60" customWidth="1"/>
    <col min="5126" max="5126" width="11.7109375" style="60" customWidth="1"/>
    <col min="5127" max="5127" width="10.7109375" style="60" customWidth="1"/>
    <col min="5128" max="5128" width="11.85546875" style="60" customWidth="1"/>
    <col min="5129" max="5129" width="11.42578125" style="60" customWidth="1"/>
    <col min="5130" max="5130" width="12.28515625" style="60" customWidth="1"/>
    <col min="5131" max="5131" width="11" style="60" customWidth="1"/>
    <col min="5132" max="5132" width="12" style="60" customWidth="1"/>
    <col min="5133" max="5133" width="12.85546875" style="60" bestFit="1" customWidth="1"/>
    <col min="5134" max="5134" width="13.85546875" style="60" customWidth="1"/>
    <col min="5135" max="5135" width="4.85546875" style="60" bestFit="1" customWidth="1"/>
    <col min="5136" max="5136" width="12" style="60" bestFit="1" customWidth="1"/>
    <col min="5137" max="5137" width="10.28515625" style="60" bestFit="1" customWidth="1"/>
    <col min="5138" max="5138" width="12" style="60" bestFit="1" customWidth="1"/>
    <col min="5139" max="5139" width="12.5703125" style="60" bestFit="1" customWidth="1"/>
    <col min="5140" max="5140" width="12" style="60" bestFit="1" customWidth="1"/>
    <col min="5141" max="5142" width="11.7109375" style="60" bestFit="1" customWidth="1"/>
    <col min="5143" max="5143" width="11.140625" style="60" bestFit="1" customWidth="1"/>
    <col min="5144" max="5376" width="9.140625" style="60"/>
    <col min="5377" max="5377" width="10.28515625" style="60" customWidth="1"/>
    <col min="5378" max="5378" width="10.42578125" style="60" customWidth="1"/>
    <col min="5379" max="5379" width="12.7109375" style="60" customWidth="1"/>
    <col min="5380" max="5380" width="11.28515625" style="60" customWidth="1"/>
    <col min="5381" max="5381" width="11.85546875" style="60" customWidth="1"/>
    <col min="5382" max="5382" width="11.7109375" style="60" customWidth="1"/>
    <col min="5383" max="5383" width="10.7109375" style="60" customWidth="1"/>
    <col min="5384" max="5384" width="11.85546875" style="60" customWidth="1"/>
    <col min="5385" max="5385" width="11.42578125" style="60" customWidth="1"/>
    <col min="5386" max="5386" width="12.28515625" style="60" customWidth="1"/>
    <col min="5387" max="5387" width="11" style="60" customWidth="1"/>
    <col min="5388" max="5388" width="12" style="60" customWidth="1"/>
    <col min="5389" max="5389" width="12.85546875" style="60" bestFit="1" customWidth="1"/>
    <col min="5390" max="5390" width="13.85546875" style="60" customWidth="1"/>
    <col min="5391" max="5391" width="4.85546875" style="60" bestFit="1" customWidth="1"/>
    <col min="5392" max="5392" width="12" style="60" bestFit="1" customWidth="1"/>
    <col min="5393" max="5393" width="10.28515625" style="60" bestFit="1" customWidth="1"/>
    <col min="5394" max="5394" width="12" style="60" bestFit="1" customWidth="1"/>
    <col min="5395" max="5395" width="12.5703125" style="60" bestFit="1" customWidth="1"/>
    <col min="5396" max="5396" width="12" style="60" bestFit="1" customWidth="1"/>
    <col min="5397" max="5398" width="11.7109375" style="60" bestFit="1" customWidth="1"/>
    <col min="5399" max="5399" width="11.140625" style="60" bestFit="1" customWidth="1"/>
    <col min="5400" max="5632" width="9.140625" style="60"/>
    <col min="5633" max="5633" width="10.28515625" style="60" customWidth="1"/>
    <col min="5634" max="5634" width="10.42578125" style="60" customWidth="1"/>
    <col min="5635" max="5635" width="12.7109375" style="60" customWidth="1"/>
    <col min="5636" max="5636" width="11.28515625" style="60" customWidth="1"/>
    <col min="5637" max="5637" width="11.85546875" style="60" customWidth="1"/>
    <col min="5638" max="5638" width="11.7109375" style="60" customWidth="1"/>
    <col min="5639" max="5639" width="10.7109375" style="60" customWidth="1"/>
    <col min="5640" max="5640" width="11.85546875" style="60" customWidth="1"/>
    <col min="5641" max="5641" width="11.42578125" style="60" customWidth="1"/>
    <col min="5642" max="5642" width="12.28515625" style="60" customWidth="1"/>
    <col min="5643" max="5643" width="11" style="60" customWidth="1"/>
    <col min="5644" max="5644" width="12" style="60" customWidth="1"/>
    <col min="5645" max="5645" width="12.85546875" style="60" bestFit="1" customWidth="1"/>
    <col min="5646" max="5646" width="13.85546875" style="60" customWidth="1"/>
    <col min="5647" max="5647" width="4.85546875" style="60" bestFit="1" customWidth="1"/>
    <col min="5648" max="5648" width="12" style="60" bestFit="1" customWidth="1"/>
    <col min="5649" max="5649" width="10.28515625" style="60" bestFit="1" customWidth="1"/>
    <col min="5650" max="5650" width="12" style="60" bestFit="1" customWidth="1"/>
    <col min="5651" max="5651" width="12.5703125" style="60" bestFit="1" customWidth="1"/>
    <col min="5652" max="5652" width="12" style="60" bestFit="1" customWidth="1"/>
    <col min="5653" max="5654" width="11.7109375" style="60" bestFit="1" customWidth="1"/>
    <col min="5655" max="5655" width="11.140625" style="60" bestFit="1" customWidth="1"/>
    <col min="5656" max="5888" width="9.140625" style="60"/>
    <col min="5889" max="5889" width="10.28515625" style="60" customWidth="1"/>
    <col min="5890" max="5890" width="10.42578125" style="60" customWidth="1"/>
    <col min="5891" max="5891" width="12.7109375" style="60" customWidth="1"/>
    <col min="5892" max="5892" width="11.28515625" style="60" customWidth="1"/>
    <col min="5893" max="5893" width="11.85546875" style="60" customWidth="1"/>
    <col min="5894" max="5894" width="11.7109375" style="60" customWidth="1"/>
    <col min="5895" max="5895" width="10.7109375" style="60" customWidth="1"/>
    <col min="5896" max="5896" width="11.85546875" style="60" customWidth="1"/>
    <col min="5897" max="5897" width="11.42578125" style="60" customWidth="1"/>
    <col min="5898" max="5898" width="12.28515625" style="60" customWidth="1"/>
    <col min="5899" max="5899" width="11" style="60" customWidth="1"/>
    <col min="5900" max="5900" width="12" style="60" customWidth="1"/>
    <col min="5901" max="5901" width="12.85546875" style="60" bestFit="1" customWidth="1"/>
    <col min="5902" max="5902" width="13.85546875" style="60" customWidth="1"/>
    <col min="5903" max="5903" width="4.85546875" style="60" bestFit="1" customWidth="1"/>
    <col min="5904" max="5904" width="12" style="60" bestFit="1" customWidth="1"/>
    <col min="5905" max="5905" width="10.28515625" style="60" bestFit="1" customWidth="1"/>
    <col min="5906" max="5906" width="12" style="60" bestFit="1" customWidth="1"/>
    <col min="5907" max="5907" width="12.5703125" style="60" bestFit="1" customWidth="1"/>
    <col min="5908" max="5908" width="12" style="60" bestFit="1" customWidth="1"/>
    <col min="5909" max="5910" width="11.7109375" style="60" bestFit="1" customWidth="1"/>
    <col min="5911" max="5911" width="11.140625" style="60" bestFit="1" customWidth="1"/>
    <col min="5912" max="6144" width="9.140625" style="60"/>
    <col min="6145" max="6145" width="10.28515625" style="60" customWidth="1"/>
    <col min="6146" max="6146" width="10.42578125" style="60" customWidth="1"/>
    <col min="6147" max="6147" width="12.7109375" style="60" customWidth="1"/>
    <col min="6148" max="6148" width="11.28515625" style="60" customWidth="1"/>
    <col min="6149" max="6149" width="11.85546875" style="60" customWidth="1"/>
    <col min="6150" max="6150" width="11.7109375" style="60" customWidth="1"/>
    <col min="6151" max="6151" width="10.7109375" style="60" customWidth="1"/>
    <col min="6152" max="6152" width="11.85546875" style="60" customWidth="1"/>
    <col min="6153" max="6153" width="11.42578125" style="60" customWidth="1"/>
    <col min="6154" max="6154" width="12.28515625" style="60" customWidth="1"/>
    <col min="6155" max="6155" width="11" style="60" customWidth="1"/>
    <col min="6156" max="6156" width="12" style="60" customWidth="1"/>
    <col min="6157" max="6157" width="12.85546875" style="60" bestFit="1" customWidth="1"/>
    <col min="6158" max="6158" width="13.85546875" style="60" customWidth="1"/>
    <col min="6159" max="6159" width="4.85546875" style="60" bestFit="1" customWidth="1"/>
    <col min="6160" max="6160" width="12" style="60" bestFit="1" customWidth="1"/>
    <col min="6161" max="6161" width="10.28515625" style="60" bestFit="1" customWidth="1"/>
    <col min="6162" max="6162" width="12" style="60" bestFit="1" customWidth="1"/>
    <col min="6163" max="6163" width="12.5703125" style="60" bestFit="1" customWidth="1"/>
    <col min="6164" max="6164" width="12" style="60" bestFit="1" customWidth="1"/>
    <col min="6165" max="6166" width="11.7109375" style="60" bestFit="1" customWidth="1"/>
    <col min="6167" max="6167" width="11.140625" style="60" bestFit="1" customWidth="1"/>
    <col min="6168" max="6400" width="9.140625" style="60"/>
    <col min="6401" max="6401" width="10.28515625" style="60" customWidth="1"/>
    <col min="6402" max="6402" width="10.42578125" style="60" customWidth="1"/>
    <col min="6403" max="6403" width="12.7109375" style="60" customWidth="1"/>
    <col min="6404" max="6404" width="11.28515625" style="60" customWidth="1"/>
    <col min="6405" max="6405" width="11.85546875" style="60" customWidth="1"/>
    <col min="6406" max="6406" width="11.7109375" style="60" customWidth="1"/>
    <col min="6407" max="6407" width="10.7109375" style="60" customWidth="1"/>
    <col min="6408" max="6408" width="11.85546875" style="60" customWidth="1"/>
    <col min="6409" max="6409" width="11.42578125" style="60" customWidth="1"/>
    <col min="6410" max="6410" width="12.28515625" style="60" customWidth="1"/>
    <col min="6411" max="6411" width="11" style="60" customWidth="1"/>
    <col min="6412" max="6412" width="12" style="60" customWidth="1"/>
    <col min="6413" max="6413" width="12.85546875" style="60" bestFit="1" customWidth="1"/>
    <col min="6414" max="6414" width="13.85546875" style="60" customWidth="1"/>
    <col min="6415" max="6415" width="4.85546875" style="60" bestFit="1" customWidth="1"/>
    <col min="6416" max="6416" width="12" style="60" bestFit="1" customWidth="1"/>
    <col min="6417" max="6417" width="10.28515625" style="60" bestFit="1" customWidth="1"/>
    <col min="6418" max="6418" width="12" style="60" bestFit="1" customWidth="1"/>
    <col min="6419" max="6419" width="12.5703125" style="60" bestFit="1" customWidth="1"/>
    <col min="6420" max="6420" width="12" style="60" bestFit="1" customWidth="1"/>
    <col min="6421" max="6422" width="11.7109375" style="60" bestFit="1" customWidth="1"/>
    <col min="6423" max="6423" width="11.140625" style="60" bestFit="1" customWidth="1"/>
    <col min="6424" max="6656" width="9.140625" style="60"/>
    <col min="6657" max="6657" width="10.28515625" style="60" customWidth="1"/>
    <col min="6658" max="6658" width="10.42578125" style="60" customWidth="1"/>
    <col min="6659" max="6659" width="12.7109375" style="60" customWidth="1"/>
    <col min="6660" max="6660" width="11.28515625" style="60" customWidth="1"/>
    <col min="6661" max="6661" width="11.85546875" style="60" customWidth="1"/>
    <col min="6662" max="6662" width="11.7109375" style="60" customWidth="1"/>
    <col min="6663" max="6663" width="10.7109375" style="60" customWidth="1"/>
    <col min="6664" max="6664" width="11.85546875" style="60" customWidth="1"/>
    <col min="6665" max="6665" width="11.42578125" style="60" customWidth="1"/>
    <col min="6666" max="6666" width="12.28515625" style="60" customWidth="1"/>
    <col min="6667" max="6667" width="11" style="60" customWidth="1"/>
    <col min="6668" max="6668" width="12" style="60" customWidth="1"/>
    <col min="6669" max="6669" width="12.85546875" style="60" bestFit="1" customWidth="1"/>
    <col min="6670" max="6670" width="13.85546875" style="60" customWidth="1"/>
    <col min="6671" max="6671" width="4.85546875" style="60" bestFit="1" customWidth="1"/>
    <col min="6672" max="6672" width="12" style="60" bestFit="1" customWidth="1"/>
    <col min="6673" max="6673" width="10.28515625" style="60" bestFit="1" customWidth="1"/>
    <col min="6674" max="6674" width="12" style="60" bestFit="1" customWidth="1"/>
    <col min="6675" max="6675" width="12.5703125" style="60" bestFit="1" customWidth="1"/>
    <col min="6676" max="6676" width="12" style="60" bestFit="1" customWidth="1"/>
    <col min="6677" max="6678" width="11.7109375" style="60" bestFit="1" customWidth="1"/>
    <col min="6679" max="6679" width="11.140625" style="60" bestFit="1" customWidth="1"/>
    <col min="6680" max="6912" width="9.140625" style="60"/>
    <col min="6913" max="6913" width="10.28515625" style="60" customWidth="1"/>
    <col min="6914" max="6914" width="10.42578125" style="60" customWidth="1"/>
    <col min="6915" max="6915" width="12.7109375" style="60" customWidth="1"/>
    <col min="6916" max="6916" width="11.28515625" style="60" customWidth="1"/>
    <col min="6917" max="6917" width="11.85546875" style="60" customWidth="1"/>
    <col min="6918" max="6918" width="11.7109375" style="60" customWidth="1"/>
    <col min="6919" max="6919" width="10.7109375" style="60" customWidth="1"/>
    <col min="6920" max="6920" width="11.85546875" style="60" customWidth="1"/>
    <col min="6921" max="6921" width="11.42578125" style="60" customWidth="1"/>
    <col min="6922" max="6922" width="12.28515625" style="60" customWidth="1"/>
    <col min="6923" max="6923" width="11" style="60" customWidth="1"/>
    <col min="6924" max="6924" width="12" style="60" customWidth="1"/>
    <col min="6925" max="6925" width="12.85546875" style="60" bestFit="1" customWidth="1"/>
    <col min="6926" max="6926" width="13.85546875" style="60" customWidth="1"/>
    <col min="6927" max="6927" width="4.85546875" style="60" bestFit="1" customWidth="1"/>
    <col min="6928" max="6928" width="12" style="60" bestFit="1" customWidth="1"/>
    <col min="6929" max="6929" width="10.28515625" style="60" bestFit="1" customWidth="1"/>
    <col min="6930" max="6930" width="12" style="60" bestFit="1" customWidth="1"/>
    <col min="6931" max="6931" width="12.5703125" style="60" bestFit="1" customWidth="1"/>
    <col min="6932" max="6932" width="12" style="60" bestFit="1" customWidth="1"/>
    <col min="6933" max="6934" width="11.7109375" style="60" bestFit="1" customWidth="1"/>
    <col min="6935" max="6935" width="11.140625" style="60" bestFit="1" customWidth="1"/>
    <col min="6936" max="7168" width="9.140625" style="60"/>
    <col min="7169" max="7169" width="10.28515625" style="60" customWidth="1"/>
    <col min="7170" max="7170" width="10.42578125" style="60" customWidth="1"/>
    <col min="7171" max="7171" width="12.7109375" style="60" customWidth="1"/>
    <col min="7172" max="7172" width="11.28515625" style="60" customWidth="1"/>
    <col min="7173" max="7173" width="11.85546875" style="60" customWidth="1"/>
    <col min="7174" max="7174" width="11.7109375" style="60" customWidth="1"/>
    <col min="7175" max="7175" width="10.7109375" style="60" customWidth="1"/>
    <col min="7176" max="7176" width="11.85546875" style="60" customWidth="1"/>
    <col min="7177" max="7177" width="11.42578125" style="60" customWidth="1"/>
    <col min="7178" max="7178" width="12.28515625" style="60" customWidth="1"/>
    <col min="7179" max="7179" width="11" style="60" customWidth="1"/>
    <col min="7180" max="7180" width="12" style="60" customWidth="1"/>
    <col min="7181" max="7181" width="12.85546875" style="60" bestFit="1" customWidth="1"/>
    <col min="7182" max="7182" width="13.85546875" style="60" customWidth="1"/>
    <col min="7183" max="7183" width="4.85546875" style="60" bestFit="1" customWidth="1"/>
    <col min="7184" max="7184" width="12" style="60" bestFit="1" customWidth="1"/>
    <col min="7185" max="7185" width="10.28515625" style="60" bestFit="1" customWidth="1"/>
    <col min="7186" max="7186" width="12" style="60" bestFit="1" customWidth="1"/>
    <col min="7187" max="7187" width="12.5703125" style="60" bestFit="1" customWidth="1"/>
    <col min="7188" max="7188" width="12" style="60" bestFit="1" customWidth="1"/>
    <col min="7189" max="7190" width="11.7109375" style="60" bestFit="1" customWidth="1"/>
    <col min="7191" max="7191" width="11.140625" style="60" bestFit="1" customWidth="1"/>
    <col min="7192" max="7424" width="9.140625" style="60"/>
    <col min="7425" max="7425" width="10.28515625" style="60" customWidth="1"/>
    <col min="7426" max="7426" width="10.42578125" style="60" customWidth="1"/>
    <col min="7427" max="7427" width="12.7109375" style="60" customWidth="1"/>
    <col min="7428" max="7428" width="11.28515625" style="60" customWidth="1"/>
    <col min="7429" max="7429" width="11.85546875" style="60" customWidth="1"/>
    <col min="7430" max="7430" width="11.7109375" style="60" customWidth="1"/>
    <col min="7431" max="7431" width="10.7109375" style="60" customWidth="1"/>
    <col min="7432" max="7432" width="11.85546875" style="60" customWidth="1"/>
    <col min="7433" max="7433" width="11.42578125" style="60" customWidth="1"/>
    <col min="7434" max="7434" width="12.28515625" style="60" customWidth="1"/>
    <col min="7435" max="7435" width="11" style="60" customWidth="1"/>
    <col min="7436" max="7436" width="12" style="60" customWidth="1"/>
    <col min="7437" max="7437" width="12.85546875" style="60" bestFit="1" customWidth="1"/>
    <col min="7438" max="7438" width="13.85546875" style="60" customWidth="1"/>
    <col min="7439" max="7439" width="4.85546875" style="60" bestFit="1" customWidth="1"/>
    <col min="7440" max="7440" width="12" style="60" bestFit="1" customWidth="1"/>
    <col min="7441" max="7441" width="10.28515625" style="60" bestFit="1" customWidth="1"/>
    <col min="7442" max="7442" width="12" style="60" bestFit="1" customWidth="1"/>
    <col min="7443" max="7443" width="12.5703125" style="60" bestFit="1" customWidth="1"/>
    <col min="7444" max="7444" width="12" style="60" bestFit="1" customWidth="1"/>
    <col min="7445" max="7446" width="11.7109375" style="60" bestFit="1" customWidth="1"/>
    <col min="7447" max="7447" width="11.140625" style="60" bestFit="1" customWidth="1"/>
    <col min="7448" max="7680" width="9.140625" style="60"/>
    <col min="7681" max="7681" width="10.28515625" style="60" customWidth="1"/>
    <col min="7682" max="7682" width="10.42578125" style="60" customWidth="1"/>
    <col min="7683" max="7683" width="12.7109375" style="60" customWidth="1"/>
    <col min="7684" max="7684" width="11.28515625" style="60" customWidth="1"/>
    <col min="7685" max="7685" width="11.85546875" style="60" customWidth="1"/>
    <col min="7686" max="7686" width="11.7109375" style="60" customWidth="1"/>
    <col min="7687" max="7687" width="10.7109375" style="60" customWidth="1"/>
    <col min="7688" max="7688" width="11.85546875" style="60" customWidth="1"/>
    <col min="7689" max="7689" width="11.42578125" style="60" customWidth="1"/>
    <col min="7690" max="7690" width="12.28515625" style="60" customWidth="1"/>
    <col min="7691" max="7691" width="11" style="60" customWidth="1"/>
    <col min="7692" max="7692" width="12" style="60" customWidth="1"/>
    <col min="7693" max="7693" width="12.85546875" style="60" bestFit="1" customWidth="1"/>
    <col min="7694" max="7694" width="13.85546875" style="60" customWidth="1"/>
    <col min="7695" max="7695" width="4.85546875" style="60" bestFit="1" customWidth="1"/>
    <col min="7696" max="7696" width="12" style="60" bestFit="1" customWidth="1"/>
    <col min="7697" max="7697" width="10.28515625" style="60" bestFit="1" customWidth="1"/>
    <col min="7698" max="7698" width="12" style="60" bestFit="1" customWidth="1"/>
    <col min="7699" max="7699" width="12.5703125" style="60" bestFit="1" customWidth="1"/>
    <col min="7700" max="7700" width="12" style="60" bestFit="1" customWidth="1"/>
    <col min="7701" max="7702" width="11.7109375" style="60" bestFit="1" customWidth="1"/>
    <col min="7703" max="7703" width="11.140625" style="60" bestFit="1" customWidth="1"/>
    <col min="7704" max="7936" width="9.140625" style="60"/>
    <col min="7937" max="7937" width="10.28515625" style="60" customWidth="1"/>
    <col min="7938" max="7938" width="10.42578125" style="60" customWidth="1"/>
    <col min="7939" max="7939" width="12.7109375" style="60" customWidth="1"/>
    <col min="7940" max="7940" width="11.28515625" style="60" customWidth="1"/>
    <col min="7941" max="7941" width="11.85546875" style="60" customWidth="1"/>
    <col min="7942" max="7942" width="11.7109375" style="60" customWidth="1"/>
    <col min="7943" max="7943" width="10.7109375" style="60" customWidth="1"/>
    <col min="7944" max="7944" width="11.85546875" style="60" customWidth="1"/>
    <col min="7945" max="7945" width="11.42578125" style="60" customWidth="1"/>
    <col min="7946" max="7946" width="12.28515625" style="60" customWidth="1"/>
    <col min="7947" max="7947" width="11" style="60" customWidth="1"/>
    <col min="7948" max="7948" width="12" style="60" customWidth="1"/>
    <col min="7949" max="7949" width="12.85546875" style="60" bestFit="1" customWidth="1"/>
    <col min="7950" max="7950" width="13.85546875" style="60" customWidth="1"/>
    <col min="7951" max="7951" width="4.85546875" style="60" bestFit="1" customWidth="1"/>
    <col min="7952" max="7952" width="12" style="60" bestFit="1" customWidth="1"/>
    <col min="7953" max="7953" width="10.28515625" style="60" bestFit="1" customWidth="1"/>
    <col min="7954" max="7954" width="12" style="60" bestFit="1" customWidth="1"/>
    <col min="7955" max="7955" width="12.5703125" style="60" bestFit="1" customWidth="1"/>
    <col min="7956" max="7956" width="12" style="60" bestFit="1" customWidth="1"/>
    <col min="7957" max="7958" width="11.7109375" style="60" bestFit="1" customWidth="1"/>
    <col min="7959" max="7959" width="11.140625" style="60" bestFit="1" customWidth="1"/>
    <col min="7960" max="8192" width="9.140625" style="60"/>
    <col min="8193" max="8193" width="10.28515625" style="60" customWidth="1"/>
    <col min="8194" max="8194" width="10.42578125" style="60" customWidth="1"/>
    <col min="8195" max="8195" width="12.7109375" style="60" customWidth="1"/>
    <col min="8196" max="8196" width="11.28515625" style="60" customWidth="1"/>
    <col min="8197" max="8197" width="11.85546875" style="60" customWidth="1"/>
    <col min="8198" max="8198" width="11.7109375" style="60" customWidth="1"/>
    <col min="8199" max="8199" width="10.7109375" style="60" customWidth="1"/>
    <col min="8200" max="8200" width="11.85546875" style="60" customWidth="1"/>
    <col min="8201" max="8201" width="11.42578125" style="60" customWidth="1"/>
    <col min="8202" max="8202" width="12.28515625" style="60" customWidth="1"/>
    <col min="8203" max="8203" width="11" style="60" customWidth="1"/>
    <col min="8204" max="8204" width="12" style="60" customWidth="1"/>
    <col min="8205" max="8205" width="12.85546875" style="60" bestFit="1" customWidth="1"/>
    <col min="8206" max="8206" width="13.85546875" style="60" customWidth="1"/>
    <col min="8207" max="8207" width="4.85546875" style="60" bestFit="1" customWidth="1"/>
    <col min="8208" max="8208" width="12" style="60" bestFit="1" customWidth="1"/>
    <col min="8209" max="8209" width="10.28515625" style="60" bestFit="1" customWidth="1"/>
    <col min="8210" max="8210" width="12" style="60" bestFit="1" customWidth="1"/>
    <col min="8211" max="8211" width="12.5703125" style="60" bestFit="1" customWidth="1"/>
    <col min="8212" max="8212" width="12" style="60" bestFit="1" customWidth="1"/>
    <col min="8213" max="8214" width="11.7109375" style="60" bestFit="1" customWidth="1"/>
    <col min="8215" max="8215" width="11.140625" style="60" bestFit="1" customWidth="1"/>
    <col min="8216" max="8448" width="9.140625" style="60"/>
    <col min="8449" max="8449" width="10.28515625" style="60" customWidth="1"/>
    <col min="8450" max="8450" width="10.42578125" style="60" customWidth="1"/>
    <col min="8451" max="8451" width="12.7109375" style="60" customWidth="1"/>
    <col min="8452" max="8452" width="11.28515625" style="60" customWidth="1"/>
    <col min="8453" max="8453" width="11.85546875" style="60" customWidth="1"/>
    <col min="8454" max="8454" width="11.7109375" style="60" customWidth="1"/>
    <col min="8455" max="8455" width="10.7109375" style="60" customWidth="1"/>
    <col min="8456" max="8456" width="11.85546875" style="60" customWidth="1"/>
    <col min="8457" max="8457" width="11.42578125" style="60" customWidth="1"/>
    <col min="8458" max="8458" width="12.28515625" style="60" customWidth="1"/>
    <col min="8459" max="8459" width="11" style="60" customWidth="1"/>
    <col min="8460" max="8460" width="12" style="60" customWidth="1"/>
    <col min="8461" max="8461" width="12.85546875" style="60" bestFit="1" customWidth="1"/>
    <col min="8462" max="8462" width="13.85546875" style="60" customWidth="1"/>
    <col min="8463" max="8463" width="4.85546875" style="60" bestFit="1" customWidth="1"/>
    <col min="8464" max="8464" width="12" style="60" bestFit="1" customWidth="1"/>
    <col min="8465" max="8465" width="10.28515625" style="60" bestFit="1" customWidth="1"/>
    <col min="8466" max="8466" width="12" style="60" bestFit="1" customWidth="1"/>
    <col min="8467" max="8467" width="12.5703125" style="60" bestFit="1" customWidth="1"/>
    <col min="8468" max="8468" width="12" style="60" bestFit="1" customWidth="1"/>
    <col min="8469" max="8470" width="11.7109375" style="60" bestFit="1" customWidth="1"/>
    <col min="8471" max="8471" width="11.140625" style="60" bestFit="1" customWidth="1"/>
    <col min="8472" max="8704" width="9.140625" style="60"/>
    <col min="8705" max="8705" width="10.28515625" style="60" customWidth="1"/>
    <col min="8706" max="8706" width="10.42578125" style="60" customWidth="1"/>
    <col min="8707" max="8707" width="12.7109375" style="60" customWidth="1"/>
    <col min="8708" max="8708" width="11.28515625" style="60" customWidth="1"/>
    <col min="8709" max="8709" width="11.85546875" style="60" customWidth="1"/>
    <col min="8710" max="8710" width="11.7109375" style="60" customWidth="1"/>
    <col min="8711" max="8711" width="10.7109375" style="60" customWidth="1"/>
    <col min="8712" max="8712" width="11.85546875" style="60" customWidth="1"/>
    <col min="8713" max="8713" width="11.42578125" style="60" customWidth="1"/>
    <col min="8714" max="8714" width="12.28515625" style="60" customWidth="1"/>
    <col min="8715" max="8715" width="11" style="60" customWidth="1"/>
    <col min="8716" max="8716" width="12" style="60" customWidth="1"/>
    <col min="8717" max="8717" width="12.85546875" style="60" bestFit="1" customWidth="1"/>
    <col min="8718" max="8718" width="13.85546875" style="60" customWidth="1"/>
    <col min="8719" max="8719" width="4.85546875" style="60" bestFit="1" customWidth="1"/>
    <col min="8720" max="8720" width="12" style="60" bestFit="1" customWidth="1"/>
    <col min="8721" max="8721" width="10.28515625" style="60" bestFit="1" customWidth="1"/>
    <col min="8722" max="8722" width="12" style="60" bestFit="1" customWidth="1"/>
    <col min="8723" max="8723" width="12.5703125" style="60" bestFit="1" customWidth="1"/>
    <col min="8724" max="8724" width="12" style="60" bestFit="1" customWidth="1"/>
    <col min="8725" max="8726" width="11.7109375" style="60" bestFit="1" customWidth="1"/>
    <col min="8727" max="8727" width="11.140625" style="60" bestFit="1" customWidth="1"/>
    <col min="8728" max="8960" width="9.140625" style="60"/>
    <col min="8961" max="8961" width="10.28515625" style="60" customWidth="1"/>
    <col min="8962" max="8962" width="10.42578125" style="60" customWidth="1"/>
    <col min="8963" max="8963" width="12.7109375" style="60" customWidth="1"/>
    <col min="8964" max="8964" width="11.28515625" style="60" customWidth="1"/>
    <col min="8965" max="8965" width="11.85546875" style="60" customWidth="1"/>
    <col min="8966" max="8966" width="11.7109375" style="60" customWidth="1"/>
    <col min="8967" max="8967" width="10.7109375" style="60" customWidth="1"/>
    <col min="8968" max="8968" width="11.85546875" style="60" customWidth="1"/>
    <col min="8969" max="8969" width="11.42578125" style="60" customWidth="1"/>
    <col min="8970" max="8970" width="12.28515625" style="60" customWidth="1"/>
    <col min="8971" max="8971" width="11" style="60" customWidth="1"/>
    <col min="8972" max="8972" width="12" style="60" customWidth="1"/>
    <col min="8973" max="8973" width="12.85546875" style="60" bestFit="1" customWidth="1"/>
    <col min="8974" max="8974" width="13.85546875" style="60" customWidth="1"/>
    <col min="8975" max="8975" width="4.85546875" style="60" bestFit="1" customWidth="1"/>
    <col min="8976" max="8976" width="12" style="60" bestFit="1" customWidth="1"/>
    <col min="8977" max="8977" width="10.28515625" style="60" bestFit="1" customWidth="1"/>
    <col min="8978" max="8978" width="12" style="60" bestFit="1" customWidth="1"/>
    <col min="8979" max="8979" width="12.5703125" style="60" bestFit="1" customWidth="1"/>
    <col min="8980" max="8980" width="12" style="60" bestFit="1" customWidth="1"/>
    <col min="8981" max="8982" width="11.7109375" style="60" bestFit="1" customWidth="1"/>
    <col min="8983" max="8983" width="11.140625" style="60" bestFit="1" customWidth="1"/>
    <col min="8984" max="9216" width="9.140625" style="60"/>
    <col min="9217" max="9217" width="10.28515625" style="60" customWidth="1"/>
    <col min="9218" max="9218" width="10.42578125" style="60" customWidth="1"/>
    <col min="9219" max="9219" width="12.7109375" style="60" customWidth="1"/>
    <col min="9220" max="9220" width="11.28515625" style="60" customWidth="1"/>
    <col min="9221" max="9221" width="11.85546875" style="60" customWidth="1"/>
    <col min="9222" max="9222" width="11.7109375" style="60" customWidth="1"/>
    <col min="9223" max="9223" width="10.7109375" style="60" customWidth="1"/>
    <col min="9224" max="9224" width="11.85546875" style="60" customWidth="1"/>
    <col min="9225" max="9225" width="11.42578125" style="60" customWidth="1"/>
    <col min="9226" max="9226" width="12.28515625" style="60" customWidth="1"/>
    <col min="9227" max="9227" width="11" style="60" customWidth="1"/>
    <col min="9228" max="9228" width="12" style="60" customWidth="1"/>
    <col min="9229" max="9229" width="12.85546875" style="60" bestFit="1" customWidth="1"/>
    <col min="9230" max="9230" width="13.85546875" style="60" customWidth="1"/>
    <col min="9231" max="9231" width="4.85546875" style="60" bestFit="1" customWidth="1"/>
    <col min="9232" max="9232" width="12" style="60" bestFit="1" customWidth="1"/>
    <col min="9233" max="9233" width="10.28515625" style="60" bestFit="1" customWidth="1"/>
    <col min="9234" max="9234" width="12" style="60" bestFit="1" customWidth="1"/>
    <col min="9235" max="9235" width="12.5703125" style="60" bestFit="1" customWidth="1"/>
    <col min="9236" max="9236" width="12" style="60" bestFit="1" customWidth="1"/>
    <col min="9237" max="9238" width="11.7109375" style="60" bestFit="1" customWidth="1"/>
    <col min="9239" max="9239" width="11.140625" style="60" bestFit="1" customWidth="1"/>
    <col min="9240" max="9472" width="9.140625" style="60"/>
    <col min="9473" max="9473" width="10.28515625" style="60" customWidth="1"/>
    <col min="9474" max="9474" width="10.42578125" style="60" customWidth="1"/>
    <col min="9475" max="9475" width="12.7109375" style="60" customWidth="1"/>
    <col min="9476" max="9476" width="11.28515625" style="60" customWidth="1"/>
    <col min="9477" max="9477" width="11.85546875" style="60" customWidth="1"/>
    <col min="9478" max="9478" width="11.7109375" style="60" customWidth="1"/>
    <col min="9479" max="9479" width="10.7109375" style="60" customWidth="1"/>
    <col min="9480" max="9480" width="11.85546875" style="60" customWidth="1"/>
    <col min="9481" max="9481" width="11.42578125" style="60" customWidth="1"/>
    <col min="9482" max="9482" width="12.28515625" style="60" customWidth="1"/>
    <col min="9483" max="9483" width="11" style="60" customWidth="1"/>
    <col min="9484" max="9484" width="12" style="60" customWidth="1"/>
    <col min="9485" max="9485" width="12.85546875" style="60" bestFit="1" customWidth="1"/>
    <col min="9486" max="9486" width="13.85546875" style="60" customWidth="1"/>
    <col min="9487" max="9487" width="4.85546875" style="60" bestFit="1" customWidth="1"/>
    <col min="9488" max="9488" width="12" style="60" bestFit="1" customWidth="1"/>
    <col min="9489" max="9489" width="10.28515625" style="60" bestFit="1" customWidth="1"/>
    <col min="9490" max="9490" width="12" style="60" bestFit="1" customWidth="1"/>
    <col min="9491" max="9491" width="12.5703125" style="60" bestFit="1" customWidth="1"/>
    <col min="9492" max="9492" width="12" style="60" bestFit="1" customWidth="1"/>
    <col min="9493" max="9494" width="11.7109375" style="60" bestFit="1" customWidth="1"/>
    <col min="9495" max="9495" width="11.140625" style="60" bestFit="1" customWidth="1"/>
    <col min="9496" max="9728" width="9.140625" style="60"/>
    <col min="9729" max="9729" width="10.28515625" style="60" customWidth="1"/>
    <col min="9730" max="9730" width="10.42578125" style="60" customWidth="1"/>
    <col min="9731" max="9731" width="12.7109375" style="60" customWidth="1"/>
    <col min="9732" max="9732" width="11.28515625" style="60" customWidth="1"/>
    <col min="9733" max="9733" width="11.85546875" style="60" customWidth="1"/>
    <col min="9734" max="9734" width="11.7109375" style="60" customWidth="1"/>
    <col min="9735" max="9735" width="10.7109375" style="60" customWidth="1"/>
    <col min="9736" max="9736" width="11.85546875" style="60" customWidth="1"/>
    <col min="9737" max="9737" width="11.42578125" style="60" customWidth="1"/>
    <col min="9738" max="9738" width="12.28515625" style="60" customWidth="1"/>
    <col min="9739" max="9739" width="11" style="60" customWidth="1"/>
    <col min="9740" max="9740" width="12" style="60" customWidth="1"/>
    <col min="9741" max="9741" width="12.85546875" style="60" bestFit="1" customWidth="1"/>
    <col min="9742" max="9742" width="13.85546875" style="60" customWidth="1"/>
    <col min="9743" max="9743" width="4.85546875" style="60" bestFit="1" customWidth="1"/>
    <col min="9744" max="9744" width="12" style="60" bestFit="1" customWidth="1"/>
    <col min="9745" max="9745" width="10.28515625" style="60" bestFit="1" customWidth="1"/>
    <col min="9746" max="9746" width="12" style="60" bestFit="1" customWidth="1"/>
    <col min="9747" max="9747" width="12.5703125" style="60" bestFit="1" customWidth="1"/>
    <col min="9748" max="9748" width="12" style="60" bestFit="1" customWidth="1"/>
    <col min="9749" max="9750" width="11.7109375" style="60" bestFit="1" customWidth="1"/>
    <col min="9751" max="9751" width="11.140625" style="60" bestFit="1" customWidth="1"/>
    <col min="9752" max="9984" width="9.140625" style="60"/>
    <col min="9985" max="9985" width="10.28515625" style="60" customWidth="1"/>
    <col min="9986" max="9986" width="10.42578125" style="60" customWidth="1"/>
    <col min="9987" max="9987" width="12.7109375" style="60" customWidth="1"/>
    <col min="9988" max="9988" width="11.28515625" style="60" customWidth="1"/>
    <col min="9989" max="9989" width="11.85546875" style="60" customWidth="1"/>
    <col min="9990" max="9990" width="11.7109375" style="60" customWidth="1"/>
    <col min="9991" max="9991" width="10.7109375" style="60" customWidth="1"/>
    <col min="9992" max="9992" width="11.85546875" style="60" customWidth="1"/>
    <col min="9993" max="9993" width="11.42578125" style="60" customWidth="1"/>
    <col min="9994" max="9994" width="12.28515625" style="60" customWidth="1"/>
    <col min="9995" max="9995" width="11" style="60" customWidth="1"/>
    <col min="9996" max="9996" width="12" style="60" customWidth="1"/>
    <col min="9997" max="9997" width="12.85546875" style="60" bestFit="1" customWidth="1"/>
    <col min="9998" max="9998" width="13.85546875" style="60" customWidth="1"/>
    <col min="9999" max="9999" width="4.85546875" style="60" bestFit="1" customWidth="1"/>
    <col min="10000" max="10000" width="12" style="60" bestFit="1" customWidth="1"/>
    <col min="10001" max="10001" width="10.28515625" style="60" bestFit="1" customWidth="1"/>
    <col min="10002" max="10002" width="12" style="60" bestFit="1" customWidth="1"/>
    <col min="10003" max="10003" width="12.5703125" style="60" bestFit="1" customWidth="1"/>
    <col min="10004" max="10004" width="12" style="60" bestFit="1" customWidth="1"/>
    <col min="10005" max="10006" width="11.7109375" style="60" bestFit="1" customWidth="1"/>
    <col min="10007" max="10007" width="11.140625" style="60" bestFit="1" customWidth="1"/>
    <col min="10008" max="10240" width="9.140625" style="60"/>
    <col min="10241" max="10241" width="10.28515625" style="60" customWidth="1"/>
    <col min="10242" max="10242" width="10.42578125" style="60" customWidth="1"/>
    <col min="10243" max="10243" width="12.7109375" style="60" customWidth="1"/>
    <col min="10244" max="10244" width="11.28515625" style="60" customWidth="1"/>
    <col min="10245" max="10245" width="11.85546875" style="60" customWidth="1"/>
    <col min="10246" max="10246" width="11.7109375" style="60" customWidth="1"/>
    <col min="10247" max="10247" width="10.7109375" style="60" customWidth="1"/>
    <col min="10248" max="10248" width="11.85546875" style="60" customWidth="1"/>
    <col min="10249" max="10249" width="11.42578125" style="60" customWidth="1"/>
    <col min="10250" max="10250" width="12.28515625" style="60" customWidth="1"/>
    <col min="10251" max="10251" width="11" style="60" customWidth="1"/>
    <col min="10252" max="10252" width="12" style="60" customWidth="1"/>
    <col min="10253" max="10253" width="12.85546875" style="60" bestFit="1" customWidth="1"/>
    <col min="10254" max="10254" width="13.85546875" style="60" customWidth="1"/>
    <col min="10255" max="10255" width="4.85546875" style="60" bestFit="1" customWidth="1"/>
    <col min="10256" max="10256" width="12" style="60" bestFit="1" customWidth="1"/>
    <col min="10257" max="10257" width="10.28515625" style="60" bestFit="1" customWidth="1"/>
    <col min="10258" max="10258" width="12" style="60" bestFit="1" customWidth="1"/>
    <col min="10259" max="10259" width="12.5703125" style="60" bestFit="1" customWidth="1"/>
    <col min="10260" max="10260" width="12" style="60" bestFit="1" customWidth="1"/>
    <col min="10261" max="10262" width="11.7109375" style="60" bestFit="1" customWidth="1"/>
    <col min="10263" max="10263" width="11.140625" style="60" bestFit="1" customWidth="1"/>
    <col min="10264" max="10496" width="9.140625" style="60"/>
    <col min="10497" max="10497" width="10.28515625" style="60" customWidth="1"/>
    <col min="10498" max="10498" width="10.42578125" style="60" customWidth="1"/>
    <col min="10499" max="10499" width="12.7109375" style="60" customWidth="1"/>
    <col min="10500" max="10500" width="11.28515625" style="60" customWidth="1"/>
    <col min="10501" max="10501" width="11.85546875" style="60" customWidth="1"/>
    <col min="10502" max="10502" width="11.7109375" style="60" customWidth="1"/>
    <col min="10503" max="10503" width="10.7109375" style="60" customWidth="1"/>
    <col min="10504" max="10504" width="11.85546875" style="60" customWidth="1"/>
    <col min="10505" max="10505" width="11.42578125" style="60" customWidth="1"/>
    <col min="10506" max="10506" width="12.28515625" style="60" customWidth="1"/>
    <col min="10507" max="10507" width="11" style="60" customWidth="1"/>
    <col min="10508" max="10508" width="12" style="60" customWidth="1"/>
    <col min="10509" max="10509" width="12.85546875" style="60" bestFit="1" customWidth="1"/>
    <col min="10510" max="10510" width="13.85546875" style="60" customWidth="1"/>
    <col min="10511" max="10511" width="4.85546875" style="60" bestFit="1" customWidth="1"/>
    <col min="10512" max="10512" width="12" style="60" bestFit="1" customWidth="1"/>
    <col min="10513" max="10513" width="10.28515625" style="60" bestFit="1" customWidth="1"/>
    <col min="10514" max="10514" width="12" style="60" bestFit="1" customWidth="1"/>
    <col min="10515" max="10515" width="12.5703125" style="60" bestFit="1" customWidth="1"/>
    <col min="10516" max="10516" width="12" style="60" bestFit="1" customWidth="1"/>
    <col min="10517" max="10518" width="11.7109375" style="60" bestFit="1" customWidth="1"/>
    <col min="10519" max="10519" width="11.140625" style="60" bestFit="1" customWidth="1"/>
    <col min="10520" max="10752" width="9.140625" style="60"/>
    <col min="10753" max="10753" width="10.28515625" style="60" customWidth="1"/>
    <col min="10754" max="10754" width="10.42578125" style="60" customWidth="1"/>
    <col min="10755" max="10755" width="12.7109375" style="60" customWidth="1"/>
    <col min="10756" max="10756" width="11.28515625" style="60" customWidth="1"/>
    <col min="10757" max="10757" width="11.85546875" style="60" customWidth="1"/>
    <col min="10758" max="10758" width="11.7109375" style="60" customWidth="1"/>
    <col min="10759" max="10759" width="10.7109375" style="60" customWidth="1"/>
    <col min="10760" max="10760" width="11.85546875" style="60" customWidth="1"/>
    <col min="10761" max="10761" width="11.42578125" style="60" customWidth="1"/>
    <col min="10762" max="10762" width="12.28515625" style="60" customWidth="1"/>
    <col min="10763" max="10763" width="11" style="60" customWidth="1"/>
    <col min="10764" max="10764" width="12" style="60" customWidth="1"/>
    <col min="10765" max="10765" width="12.85546875" style="60" bestFit="1" customWidth="1"/>
    <col min="10766" max="10766" width="13.85546875" style="60" customWidth="1"/>
    <col min="10767" max="10767" width="4.85546875" style="60" bestFit="1" customWidth="1"/>
    <col min="10768" max="10768" width="12" style="60" bestFit="1" customWidth="1"/>
    <col min="10769" max="10769" width="10.28515625" style="60" bestFit="1" customWidth="1"/>
    <col min="10770" max="10770" width="12" style="60" bestFit="1" customWidth="1"/>
    <col min="10771" max="10771" width="12.5703125" style="60" bestFit="1" customWidth="1"/>
    <col min="10772" max="10772" width="12" style="60" bestFit="1" customWidth="1"/>
    <col min="10773" max="10774" width="11.7109375" style="60" bestFit="1" customWidth="1"/>
    <col min="10775" max="10775" width="11.140625" style="60" bestFit="1" customWidth="1"/>
    <col min="10776" max="11008" width="9.140625" style="60"/>
    <col min="11009" max="11009" width="10.28515625" style="60" customWidth="1"/>
    <col min="11010" max="11010" width="10.42578125" style="60" customWidth="1"/>
    <col min="11011" max="11011" width="12.7109375" style="60" customWidth="1"/>
    <col min="11012" max="11012" width="11.28515625" style="60" customWidth="1"/>
    <col min="11013" max="11013" width="11.85546875" style="60" customWidth="1"/>
    <col min="11014" max="11014" width="11.7109375" style="60" customWidth="1"/>
    <col min="11015" max="11015" width="10.7109375" style="60" customWidth="1"/>
    <col min="11016" max="11016" width="11.85546875" style="60" customWidth="1"/>
    <col min="11017" max="11017" width="11.42578125" style="60" customWidth="1"/>
    <col min="11018" max="11018" width="12.28515625" style="60" customWidth="1"/>
    <col min="11019" max="11019" width="11" style="60" customWidth="1"/>
    <col min="11020" max="11020" width="12" style="60" customWidth="1"/>
    <col min="11021" max="11021" width="12.85546875" style="60" bestFit="1" customWidth="1"/>
    <col min="11022" max="11022" width="13.85546875" style="60" customWidth="1"/>
    <col min="11023" max="11023" width="4.85546875" style="60" bestFit="1" customWidth="1"/>
    <col min="11024" max="11024" width="12" style="60" bestFit="1" customWidth="1"/>
    <col min="11025" max="11025" width="10.28515625" style="60" bestFit="1" customWidth="1"/>
    <col min="11026" max="11026" width="12" style="60" bestFit="1" customWidth="1"/>
    <col min="11027" max="11027" width="12.5703125" style="60" bestFit="1" customWidth="1"/>
    <col min="11028" max="11028" width="12" style="60" bestFit="1" customWidth="1"/>
    <col min="11029" max="11030" width="11.7109375" style="60" bestFit="1" customWidth="1"/>
    <col min="11031" max="11031" width="11.140625" style="60" bestFit="1" customWidth="1"/>
    <col min="11032" max="11264" width="9.140625" style="60"/>
    <col min="11265" max="11265" width="10.28515625" style="60" customWidth="1"/>
    <col min="11266" max="11266" width="10.42578125" style="60" customWidth="1"/>
    <col min="11267" max="11267" width="12.7109375" style="60" customWidth="1"/>
    <col min="11268" max="11268" width="11.28515625" style="60" customWidth="1"/>
    <col min="11269" max="11269" width="11.85546875" style="60" customWidth="1"/>
    <col min="11270" max="11270" width="11.7109375" style="60" customWidth="1"/>
    <col min="11271" max="11271" width="10.7109375" style="60" customWidth="1"/>
    <col min="11272" max="11272" width="11.85546875" style="60" customWidth="1"/>
    <col min="11273" max="11273" width="11.42578125" style="60" customWidth="1"/>
    <col min="11274" max="11274" width="12.28515625" style="60" customWidth="1"/>
    <col min="11275" max="11275" width="11" style="60" customWidth="1"/>
    <col min="11276" max="11276" width="12" style="60" customWidth="1"/>
    <col min="11277" max="11277" width="12.85546875" style="60" bestFit="1" customWidth="1"/>
    <col min="11278" max="11278" width="13.85546875" style="60" customWidth="1"/>
    <col min="11279" max="11279" width="4.85546875" style="60" bestFit="1" customWidth="1"/>
    <col min="11280" max="11280" width="12" style="60" bestFit="1" customWidth="1"/>
    <col min="11281" max="11281" width="10.28515625" style="60" bestFit="1" customWidth="1"/>
    <col min="11282" max="11282" width="12" style="60" bestFit="1" customWidth="1"/>
    <col min="11283" max="11283" width="12.5703125" style="60" bestFit="1" customWidth="1"/>
    <col min="11284" max="11284" width="12" style="60" bestFit="1" customWidth="1"/>
    <col min="11285" max="11286" width="11.7109375" style="60" bestFit="1" customWidth="1"/>
    <col min="11287" max="11287" width="11.140625" style="60" bestFit="1" customWidth="1"/>
    <col min="11288" max="11520" width="9.140625" style="60"/>
    <col min="11521" max="11521" width="10.28515625" style="60" customWidth="1"/>
    <col min="11522" max="11522" width="10.42578125" style="60" customWidth="1"/>
    <col min="11523" max="11523" width="12.7109375" style="60" customWidth="1"/>
    <col min="11524" max="11524" width="11.28515625" style="60" customWidth="1"/>
    <col min="11525" max="11525" width="11.85546875" style="60" customWidth="1"/>
    <col min="11526" max="11526" width="11.7109375" style="60" customWidth="1"/>
    <col min="11527" max="11527" width="10.7109375" style="60" customWidth="1"/>
    <col min="11528" max="11528" width="11.85546875" style="60" customWidth="1"/>
    <col min="11529" max="11529" width="11.42578125" style="60" customWidth="1"/>
    <col min="11530" max="11530" width="12.28515625" style="60" customWidth="1"/>
    <col min="11531" max="11531" width="11" style="60" customWidth="1"/>
    <col min="11532" max="11532" width="12" style="60" customWidth="1"/>
    <col min="11533" max="11533" width="12.85546875" style="60" bestFit="1" customWidth="1"/>
    <col min="11534" max="11534" width="13.85546875" style="60" customWidth="1"/>
    <col min="11535" max="11535" width="4.85546875" style="60" bestFit="1" customWidth="1"/>
    <col min="11536" max="11536" width="12" style="60" bestFit="1" customWidth="1"/>
    <col min="11537" max="11537" width="10.28515625" style="60" bestFit="1" customWidth="1"/>
    <col min="11538" max="11538" width="12" style="60" bestFit="1" customWidth="1"/>
    <col min="11539" max="11539" width="12.5703125" style="60" bestFit="1" customWidth="1"/>
    <col min="11540" max="11540" width="12" style="60" bestFit="1" customWidth="1"/>
    <col min="11541" max="11542" width="11.7109375" style="60" bestFit="1" customWidth="1"/>
    <col min="11543" max="11543" width="11.140625" style="60" bestFit="1" customWidth="1"/>
    <col min="11544" max="11776" width="9.140625" style="60"/>
    <col min="11777" max="11777" width="10.28515625" style="60" customWidth="1"/>
    <col min="11778" max="11778" width="10.42578125" style="60" customWidth="1"/>
    <col min="11779" max="11779" width="12.7109375" style="60" customWidth="1"/>
    <col min="11780" max="11780" width="11.28515625" style="60" customWidth="1"/>
    <col min="11781" max="11781" width="11.85546875" style="60" customWidth="1"/>
    <col min="11782" max="11782" width="11.7109375" style="60" customWidth="1"/>
    <col min="11783" max="11783" width="10.7109375" style="60" customWidth="1"/>
    <col min="11784" max="11784" width="11.85546875" style="60" customWidth="1"/>
    <col min="11785" max="11785" width="11.42578125" style="60" customWidth="1"/>
    <col min="11786" max="11786" width="12.28515625" style="60" customWidth="1"/>
    <col min="11787" max="11787" width="11" style="60" customWidth="1"/>
    <col min="11788" max="11788" width="12" style="60" customWidth="1"/>
    <col min="11789" max="11789" width="12.85546875" style="60" bestFit="1" customWidth="1"/>
    <col min="11790" max="11790" width="13.85546875" style="60" customWidth="1"/>
    <col min="11791" max="11791" width="4.85546875" style="60" bestFit="1" customWidth="1"/>
    <col min="11792" max="11792" width="12" style="60" bestFit="1" customWidth="1"/>
    <col min="11793" max="11793" width="10.28515625" style="60" bestFit="1" customWidth="1"/>
    <col min="11794" max="11794" width="12" style="60" bestFit="1" customWidth="1"/>
    <col min="11795" max="11795" width="12.5703125" style="60" bestFit="1" customWidth="1"/>
    <col min="11796" max="11796" width="12" style="60" bestFit="1" customWidth="1"/>
    <col min="11797" max="11798" width="11.7109375" style="60" bestFit="1" customWidth="1"/>
    <col min="11799" max="11799" width="11.140625" style="60" bestFit="1" customWidth="1"/>
    <col min="11800" max="12032" width="9.140625" style="60"/>
    <col min="12033" max="12033" width="10.28515625" style="60" customWidth="1"/>
    <col min="12034" max="12034" width="10.42578125" style="60" customWidth="1"/>
    <col min="12035" max="12035" width="12.7109375" style="60" customWidth="1"/>
    <col min="12036" max="12036" width="11.28515625" style="60" customWidth="1"/>
    <col min="12037" max="12037" width="11.85546875" style="60" customWidth="1"/>
    <col min="12038" max="12038" width="11.7109375" style="60" customWidth="1"/>
    <col min="12039" max="12039" width="10.7109375" style="60" customWidth="1"/>
    <col min="12040" max="12040" width="11.85546875" style="60" customWidth="1"/>
    <col min="12041" max="12041" width="11.42578125" style="60" customWidth="1"/>
    <col min="12042" max="12042" width="12.28515625" style="60" customWidth="1"/>
    <col min="12043" max="12043" width="11" style="60" customWidth="1"/>
    <col min="12044" max="12044" width="12" style="60" customWidth="1"/>
    <col min="12045" max="12045" width="12.85546875" style="60" bestFit="1" customWidth="1"/>
    <col min="12046" max="12046" width="13.85546875" style="60" customWidth="1"/>
    <col min="12047" max="12047" width="4.85546875" style="60" bestFit="1" customWidth="1"/>
    <col min="12048" max="12048" width="12" style="60" bestFit="1" customWidth="1"/>
    <col min="12049" max="12049" width="10.28515625" style="60" bestFit="1" customWidth="1"/>
    <col min="12050" max="12050" width="12" style="60" bestFit="1" customWidth="1"/>
    <col min="12051" max="12051" width="12.5703125" style="60" bestFit="1" customWidth="1"/>
    <col min="12052" max="12052" width="12" style="60" bestFit="1" customWidth="1"/>
    <col min="12053" max="12054" width="11.7109375" style="60" bestFit="1" customWidth="1"/>
    <col min="12055" max="12055" width="11.140625" style="60" bestFit="1" customWidth="1"/>
    <col min="12056" max="12288" width="9.140625" style="60"/>
    <col min="12289" max="12289" width="10.28515625" style="60" customWidth="1"/>
    <col min="12290" max="12290" width="10.42578125" style="60" customWidth="1"/>
    <col min="12291" max="12291" width="12.7109375" style="60" customWidth="1"/>
    <col min="12292" max="12292" width="11.28515625" style="60" customWidth="1"/>
    <col min="12293" max="12293" width="11.85546875" style="60" customWidth="1"/>
    <col min="12294" max="12294" width="11.7109375" style="60" customWidth="1"/>
    <col min="12295" max="12295" width="10.7109375" style="60" customWidth="1"/>
    <col min="12296" max="12296" width="11.85546875" style="60" customWidth="1"/>
    <col min="12297" max="12297" width="11.42578125" style="60" customWidth="1"/>
    <col min="12298" max="12298" width="12.28515625" style="60" customWidth="1"/>
    <col min="12299" max="12299" width="11" style="60" customWidth="1"/>
    <col min="12300" max="12300" width="12" style="60" customWidth="1"/>
    <col min="12301" max="12301" width="12.85546875" style="60" bestFit="1" customWidth="1"/>
    <col min="12302" max="12302" width="13.85546875" style="60" customWidth="1"/>
    <col min="12303" max="12303" width="4.85546875" style="60" bestFit="1" customWidth="1"/>
    <col min="12304" max="12304" width="12" style="60" bestFit="1" customWidth="1"/>
    <col min="12305" max="12305" width="10.28515625" style="60" bestFit="1" customWidth="1"/>
    <col min="12306" max="12306" width="12" style="60" bestFit="1" customWidth="1"/>
    <col min="12307" max="12307" width="12.5703125" style="60" bestFit="1" customWidth="1"/>
    <col min="12308" max="12308" width="12" style="60" bestFit="1" customWidth="1"/>
    <col min="12309" max="12310" width="11.7109375" style="60" bestFit="1" customWidth="1"/>
    <col min="12311" max="12311" width="11.140625" style="60" bestFit="1" customWidth="1"/>
    <col min="12312" max="12544" width="9.140625" style="60"/>
    <col min="12545" max="12545" width="10.28515625" style="60" customWidth="1"/>
    <col min="12546" max="12546" width="10.42578125" style="60" customWidth="1"/>
    <col min="12547" max="12547" width="12.7109375" style="60" customWidth="1"/>
    <col min="12548" max="12548" width="11.28515625" style="60" customWidth="1"/>
    <col min="12549" max="12549" width="11.85546875" style="60" customWidth="1"/>
    <col min="12550" max="12550" width="11.7109375" style="60" customWidth="1"/>
    <col min="12551" max="12551" width="10.7109375" style="60" customWidth="1"/>
    <col min="12552" max="12552" width="11.85546875" style="60" customWidth="1"/>
    <col min="12553" max="12553" width="11.42578125" style="60" customWidth="1"/>
    <col min="12554" max="12554" width="12.28515625" style="60" customWidth="1"/>
    <col min="12555" max="12555" width="11" style="60" customWidth="1"/>
    <col min="12556" max="12556" width="12" style="60" customWidth="1"/>
    <col min="12557" max="12557" width="12.85546875" style="60" bestFit="1" customWidth="1"/>
    <col min="12558" max="12558" width="13.85546875" style="60" customWidth="1"/>
    <col min="12559" max="12559" width="4.85546875" style="60" bestFit="1" customWidth="1"/>
    <col min="12560" max="12560" width="12" style="60" bestFit="1" customWidth="1"/>
    <col min="12561" max="12561" width="10.28515625" style="60" bestFit="1" customWidth="1"/>
    <col min="12562" max="12562" width="12" style="60" bestFit="1" customWidth="1"/>
    <col min="12563" max="12563" width="12.5703125" style="60" bestFit="1" customWidth="1"/>
    <col min="12564" max="12564" width="12" style="60" bestFit="1" customWidth="1"/>
    <col min="12565" max="12566" width="11.7109375" style="60" bestFit="1" customWidth="1"/>
    <col min="12567" max="12567" width="11.140625" style="60" bestFit="1" customWidth="1"/>
    <col min="12568" max="12800" width="9.140625" style="60"/>
    <col min="12801" max="12801" width="10.28515625" style="60" customWidth="1"/>
    <col min="12802" max="12802" width="10.42578125" style="60" customWidth="1"/>
    <col min="12803" max="12803" width="12.7109375" style="60" customWidth="1"/>
    <col min="12804" max="12804" width="11.28515625" style="60" customWidth="1"/>
    <col min="12805" max="12805" width="11.85546875" style="60" customWidth="1"/>
    <col min="12806" max="12806" width="11.7109375" style="60" customWidth="1"/>
    <col min="12807" max="12807" width="10.7109375" style="60" customWidth="1"/>
    <col min="12808" max="12808" width="11.85546875" style="60" customWidth="1"/>
    <col min="12809" max="12809" width="11.42578125" style="60" customWidth="1"/>
    <col min="12810" max="12810" width="12.28515625" style="60" customWidth="1"/>
    <col min="12811" max="12811" width="11" style="60" customWidth="1"/>
    <col min="12812" max="12812" width="12" style="60" customWidth="1"/>
    <col min="12813" max="12813" width="12.85546875" style="60" bestFit="1" customWidth="1"/>
    <col min="12814" max="12814" width="13.85546875" style="60" customWidth="1"/>
    <col min="12815" max="12815" width="4.85546875" style="60" bestFit="1" customWidth="1"/>
    <col min="12816" max="12816" width="12" style="60" bestFit="1" customWidth="1"/>
    <col min="12817" max="12817" width="10.28515625" style="60" bestFit="1" customWidth="1"/>
    <col min="12818" max="12818" width="12" style="60" bestFit="1" customWidth="1"/>
    <col min="12819" max="12819" width="12.5703125" style="60" bestFit="1" customWidth="1"/>
    <col min="12820" max="12820" width="12" style="60" bestFit="1" customWidth="1"/>
    <col min="12821" max="12822" width="11.7109375" style="60" bestFit="1" customWidth="1"/>
    <col min="12823" max="12823" width="11.140625" style="60" bestFit="1" customWidth="1"/>
    <col min="12824" max="13056" width="9.140625" style="60"/>
    <col min="13057" max="13057" width="10.28515625" style="60" customWidth="1"/>
    <col min="13058" max="13058" width="10.42578125" style="60" customWidth="1"/>
    <col min="13059" max="13059" width="12.7109375" style="60" customWidth="1"/>
    <col min="13060" max="13060" width="11.28515625" style="60" customWidth="1"/>
    <col min="13061" max="13061" width="11.85546875" style="60" customWidth="1"/>
    <col min="13062" max="13062" width="11.7109375" style="60" customWidth="1"/>
    <col min="13063" max="13063" width="10.7109375" style="60" customWidth="1"/>
    <col min="13064" max="13064" width="11.85546875" style="60" customWidth="1"/>
    <col min="13065" max="13065" width="11.42578125" style="60" customWidth="1"/>
    <col min="13066" max="13066" width="12.28515625" style="60" customWidth="1"/>
    <col min="13067" max="13067" width="11" style="60" customWidth="1"/>
    <col min="13068" max="13068" width="12" style="60" customWidth="1"/>
    <col min="13069" max="13069" width="12.85546875" style="60" bestFit="1" customWidth="1"/>
    <col min="13070" max="13070" width="13.85546875" style="60" customWidth="1"/>
    <col min="13071" max="13071" width="4.85546875" style="60" bestFit="1" customWidth="1"/>
    <col min="13072" max="13072" width="12" style="60" bestFit="1" customWidth="1"/>
    <col min="13073" max="13073" width="10.28515625" style="60" bestFit="1" customWidth="1"/>
    <col min="13074" max="13074" width="12" style="60" bestFit="1" customWidth="1"/>
    <col min="13075" max="13075" width="12.5703125" style="60" bestFit="1" customWidth="1"/>
    <col min="13076" max="13076" width="12" style="60" bestFit="1" customWidth="1"/>
    <col min="13077" max="13078" width="11.7109375" style="60" bestFit="1" customWidth="1"/>
    <col min="13079" max="13079" width="11.140625" style="60" bestFit="1" customWidth="1"/>
    <col min="13080" max="13312" width="9.140625" style="60"/>
    <col min="13313" max="13313" width="10.28515625" style="60" customWidth="1"/>
    <col min="13314" max="13314" width="10.42578125" style="60" customWidth="1"/>
    <col min="13315" max="13315" width="12.7109375" style="60" customWidth="1"/>
    <col min="13316" max="13316" width="11.28515625" style="60" customWidth="1"/>
    <col min="13317" max="13317" width="11.85546875" style="60" customWidth="1"/>
    <col min="13318" max="13318" width="11.7109375" style="60" customWidth="1"/>
    <col min="13319" max="13319" width="10.7109375" style="60" customWidth="1"/>
    <col min="13320" max="13320" width="11.85546875" style="60" customWidth="1"/>
    <col min="13321" max="13321" width="11.42578125" style="60" customWidth="1"/>
    <col min="13322" max="13322" width="12.28515625" style="60" customWidth="1"/>
    <col min="13323" max="13323" width="11" style="60" customWidth="1"/>
    <col min="13324" max="13324" width="12" style="60" customWidth="1"/>
    <col min="13325" max="13325" width="12.85546875" style="60" bestFit="1" customWidth="1"/>
    <col min="13326" max="13326" width="13.85546875" style="60" customWidth="1"/>
    <col min="13327" max="13327" width="4.85546875" style="60" bestFit="1" customWidth="1"/>
    <col min="13328" max="13328" width="12" style="60" bestFit="1" customWidth="1"/>
    <col min="13329" max="13329" width="10.28515625" style="60" bestFit="1" customWidth="1"/>
    <col min="13330" max="13330" width="12" style="60" bestFit="1" customWidth="1"/>
    <col min="13331" max="13331" width="12.5703125" style="60" bestFit="1" customWidth="1"/>
    <col min="13332" max="13332" width="12" style="60" bestFit="1" customWidth="1"/>
    <col min="13333" max="13334" width="11.7109375" style="60" bestFit="1" customWidth="1"/>
    <col min="13335" max="13335" width="11.140625" style="60" bestFit="1" customWidth="1"/>
    <col min="13336" max="13568" width="9.140625" style="60"/>
    <col min="13569" max="13569" width="10.28515625" style="60" customWidth="1"/>
    <col min="13570" max="13570" width="10.42578125" style="60" customWidth="1"/>
    <col min="13571" max="13571" width="12.7109375" style="60" customWidth="1"/>
    <col min="13572" max="13572" width="11.28515625" style="60" customWidth="1"/>
    <col min="13573" max="13573" width="11.85546875" style="60" customWidth="1"/>
    <col min="13574" max="13574" width="11.7109375" style="60" customWidth="1"/>
    <col min="13575" max="13575" width="10.7109375" style="60" customWidth="1"/>
    <col min="13576" max="13576" width="11.85546875" style="60" customWidth="1"/>
    <col min="13577" max="13577" width="11.42578125" style="60" customWidth="1"/>
    <col min="13578" max="13578" width="12.28515625" style="60" customWidth="1"/>
    <col min="13579" max="13579" width="11" style="60" customWidth="1"/>
    <col min="13580" max="13580" width="12" style="60" customWidth="1"/>
    <col min="13581" max="13581" width="12.85546875" style="60" bestFit="1" customWidth="1"/>
    <col min="13582" max="13582" width="13.85546875" style="60" customWidth="1"/>
    <col min="13583" max="13583" width="4.85546875" style="60" bestFit="1" customWidth="1"/>
    <col min="13584" max="13584" width="12" style="60" bestFit="1" customWidth="1"/>
    <col min="13585" max="13585" width="10.28515625" style="60" bestFit="1" customWidth="1"/>
    <col min="13586" max="13586" width="12" style="60" bestFit="1" customWidth="1"/>
    <col min="13587" max="13587" width="12.5703125" style="60" bestFit="1" customWidth="1"/>
    <col min="13588" max="13588" width="12" style="60" bestFit="1" customWidth="1"/>
    <col min="13589" max="13590" width="11.7109375" style="60" bestFit="1" customWidth="1"/>
    <col min="13591" max="13591" width="11.140625" style="60" bestFit="1" customWidth="1"/>
    <col min="13592" max="13824" width="9.140625" style="60"/>
    <col min="13825" max="13825" width="10.28515625" style="60" customWidth="1"/>
    <col min="13826" max="13826" width="10.42578125" style="60" customWidth="1"/>
    <col min="13827" max="13827" width="12.7109375" style="60" customWidth="1"/>
    <col min="13828" max="13828" width="11.28515625" style="60" customWidth="1"/>
    <col min="13829" max="13829" width="11.85546875" style="60" customWidth="1"/>
    <col min="13830" max="13830" width="11.7109375" style="60" customWidth="1"/>
    <col min="13831" max="13831" width="10.7109375" style="60" customWidth="1"/>
    <col min="13832" max="13832" width="11.85546875" style="60" customWidth="1"/>
    <col min="13833" max="13833" width="11.42578125" style="60" customWidth="1"/>
    <col min="13834" max="13834" width="12.28515625" style="60" customWidth="1"/>
    <col min="13835" max="13835" width="11" style="60" customWidth="1"/>
    <col min="13836" max="13836" width="12" style="60" customWidth="1"/>
    <col min="13837" max="13837" width="12.85546875" style="60" bestFit="1" customWidth="1"/>
    <col min="13838" max="13838" width="13.85546875" style="60" customWidth="1"/>
    <col min="13839" max="13839" width="4.85546875" style="60" bestFit="1" customWidth="1"/>
    <col min="13840" max="13840" width="12" style="60" bestFit="1" customWidth="1"/>
    <col min="13841" max="13841" width="10.28515625" style="60" bestFit="1" customWidth="1"/>
    <col min="13842" max="13842" width="12" style="60" bestFit="1" customWidth="1"/>
    <col min="13843" max="13843" width="12.5703125" style="60" bestFit="1" customWidth="1"/>
    <col min="13844" max="13844" width="12" style="60" bestFit="1" customWidth="1"/>
    <col min="13845" max="13846" width="11.7109375" style="60" bestFit="1" customWidth="1"/>
    <col min="13847" max="13847" width="11.140625" style="60" bestFit="1" customWidth="1"/>
    <col min="13848" max="14080" width="9.140625" style="60"/>
    <col min="14081" max="14081" width="10.28515625" style="60" customWidth="1"/>
    <col min="14082" max="14082" width="10.42578125" style="60" customWidth="1"/>
    <col min="14083" max="14083" width="12.7109375" style="60" customWidth="1"/>
    <col min="14084" max="14084" width="11.28515625" style="60" customWidth="1"/>
    <col min="14085" max="14085" width="11.85546875" style="60" customWidth="1"/>
    <col min="14086" max="14086" width="11.7109375" style="60" customWidth="1"/>
    <col min="14087" max="14087" width="10.7109375" style="60" customWidth="1"/>
    <col min="14088" max="14088" width="11.85546875" style="60" customWidth="1"/>
    <col min="14089" max="14089" width="11.42578125" style="60" customWidth="1"/>
    <col min="14090" max="14090" width="12.28515625" style="60" customWidth="1"/>
    <col min="14091" max="14091" width="11" style="60" customWidth="1"/>
    <col min="14092" max="14092" width="12" style="60" customWidth="1"/>
    <col min="14093" max="14093" width="12.85546875" style="60" bestFit="1" customWidth="1"/>
    <col min="14094" max="14094" width="13.85546875" style="60" customWidth="1"/>
    <col min="14095" max="14095" width="4.85546875" style="60" bestFit="1" customWidth="1"/>
    <col min="14096" max="14096" width="12" style="60" bestFit="1" customWidth="1"/>
    <col min="14097" max="14097" width="10.28515625" style="60" bestFit="1" customWidth="1"/>
    <col min="14098" max="14098" width="12" style="60" bestFit="1" customWidth="1"/>
    <col min="14099" max="14099" width="12.5703125" style="60" bestFit="1" customWidth="1"/>
    <col min="14100" max="14100" width="12" style="60" bestFit="1" customWidth="1"/>
    <col min="14101" max="14102" width="11.7109375" style="60" bestFit="1" customWidth="1"/>
    <col min="14103" max="14103" width="11.140625" style="60" bestFit="1" customWidth="1"/>
    <col min="14104" max="14336" width="9.140625" style="60"/>
    <col min="14337" max="14337" width="10.28515625" style="60" customWidth="1"/>
    <col min="14338" max="14338" width="10.42578125" style="60" customWidth="1"/>
    <col min="14339" max="14339" width="12.7109375" style="60" customWidth="1"/>
    <col min="14340" max="14340" width="11.28515625" style="60" customWidth="1"/>
    <col min="14341" max="14341" width="11.85546875" style="60" customWidth="1"/>
    <col min="14342" max="14342" width="11.7109375" style="60" customWidth="1"/>
    <col min="14343" max="14343" width="10.7109375" style="60" customWidth="1"/>
    <col min="14344" max="14344" width="11.85546875" style="60" customWidth="1"/>
    <col min="14345" max="14345" width="11.42578125" style="60" customWidth="1"/>
    <col min="14346" max="14346" width="12.28515625" style="60" customWidth="1"/>
    <col min="14347" max="14347" width="11" style="60" customWidth="1"/>
    <col min="14348" max="14348" width="12" style="60" customWidth="1"/>
    <col min="14349" max="14349" width="12.85546875" style="60" bestFit="1" customWidth="1"/>
    <col min="14350" max="14350" width="13.85546875" style="60" customWidth="1"/>
    <col min="14351" max="14351" width="4.85546875" style="60" bestFit="1" customWidth="1"/>
    <col min="14352" max="14352" width="12" style="60" bestFit="1" customWidth="1"/>
    <col min="14353" max="14353" width="10.28515625" style="60" bestFit="1" customWidth="1"/>
    <col min="14354" max="14354" width="12" style="60" bestFit="1" customWidth="1"/>
    <col min="14355" max="14355" width="12.5703125" style="60" bestFit="1" customWidth="1"/>
    <col min="14356" max="14356" width="12" style="60" bestFit="1" customWidth="1"/>
    <col min="14357" max="14358" width="11.7109375" style="60" bestFit="1" customWidth="1"/>
    <col min="14359" max="14359" width="11.140625" style="60" bestFit="1" customWidth="1"/>
    <col min="14360" max="14592" width="9.140625" style="60"/>
    <col min="14593" max="14593" width="10.28515625" style="60" customWidth="1"/>
    <col min="14594" max="14594" width="10.42578125" style="60" customWidth="1"/>
    <col min="14595" max="14595" width="12.7109375" style="60" customWidth="1"/>
    <col min="14596" max="14596" width="11.28515625" style="60" customWidth="1"/>
    <col min="14597" max="14597" width="11.85546875" style="60" customWidth="1"/>
    <col min="14598" max="14598" width="11.7109375" style="60" customWidth="1"/>
    <col min="14599" max="14599" width="10.7109375" style="60" customWidth="1"/>
    <col min="14600" max="14600" width="11.85546875" style="60" customWidth="1"/>
    <col min="14601" max="14601" width="11.42578125" style="60" customWidth="1"/>
    <col min="14602" max="14602" width="12.28515625" style="60" customWidth="1"/>
    <col min="14603" max="14603" width="11" style="60" customWidth="1"/>
    <col min="14604" max="14604" width="12" style="60" customWidth="1"/>
    <col min="14605" max="14605" width="12.85546875" style="60" bestFit="1" customWidth="1"/>
    <col min="14606" max="14606" width="13.85546875" style="60" customWidth="1"/>
    <col min="14607" max="14607" width="4.85546875" style="60" bestFit="1" customWidth="1"/>
    <col min="14608" max="14608" width="12" style="60" bestFit="1" customWidth="1"/>
    <col min="14609" max="14609" width="10.28515625" style="60" bestFit="1" customWidth="1"/>
    <col min="14610" max="14610" width="12" style="60" bestFit="1" customWidth="1"/>
    <col min="14611" max="14611" width="12.5703125" style="60" bestFit="1" customWidth="1"/>
    <col min="14612" max="14612" width="12" style="60" bestFit="1" customWidth="1"/>
    <col min="14613" max="14614" width="11.7109375" style="60" bestFit="1" customWidth="1"/>
    <col min="14615" max="14615" width="11.140625" style="60" bestFit="1" customWidth="1"/>
    <col min="14616" max="14848" width="9.140625" style="60"/>
    <col min="14849" max="14849" width="10.28515625" style="60" customWidth="1"/>
    <col min="14850" max="14850" width="10.42578125" style="60" customWidth="1"/>
    <col min="14851" max="14851" width="12.7109375" style="60" customWidth="1"/>
    <col min="14852" max="14852" width="11.28515625" style="60" customWidth="1"/>
    <col min="14853" max="14853" width="11.85546875" style="60" customWidth="1"/>
    <col min="14854" max="14854" width="11.7109375" style="60" customWidth="1"/>
    <col min="14855" max="14855" width="10.7109375" style="60" customWidth="1"/>
    <col min="14856" max="14856" width="11.85546875" style="60" customWidth="1"/>
    <col min="14857" max="14857" width="11.42578125" style="60" customWidth="1"/>
    <col min="14858" max="14858" width="12.28515625" style="60" customWidth="1"/>
    <col min="14859" max="14859" width="11" style="60" customWidth="1"/>
    <col min="14860" max="14860" width="12" style="60" customWidth="1"/>
    <col min="14861" max="14861" width="12.85546875" style="60" bestFit="1" customWidth="1"/>
    <col min="14862" max="14862" width="13.85546875" style="60" customWidth="1"/>
    <col min="14863" max="14863" width="4.85546875" style="60" bestFit="1" customWidth="1"/>
    <col min="14864" max="14864" width="12" style="60" bestFit="1" customWidth="1"/>
    <col min="14865" max="14865" width="10.28515625" style="60" bestFit="1" customWidth="1"/>
    <col min="14866" max="14866" width="12" style="60" bestFit="1" customWidth="1"/>
    <col min="14867" max="14867" width="12.5703125" style="60" bestFit="1" customWidth="1"/>
    <col min="14868" max="14868" width="12" style="60" bestFit="1" customWidth="1"/>
    <col min="14869" max="14870" width="11.7109375" style="60" bestFit="1" customWidth="1"/>
    <col min="14871" max="14871" width="11.140625" style="60" bestFit="1" customWidth="1"/>
    <col min="14872" max="15104" width="9.140625" style="60"/>
    <col min="15105" max="15105" width="10.28515625" style="60" customWidth="1"/>
    <col min="15106" max="15106" width="10.42578125" style="60" customWidth="1"/>
    <col min="15107" max="15107" width="12.7109375" style="60" customWidth="1"/>
    <col min="15108" max="15108" width="11.28515625" style="60" customWidth="1"/>
    <col min="15109" max="15109" width="11.85546875" style="60" customWidth="1"/>
    <col min="15110" max="15110" width="11.7109375" style="60" customWidth="1"/>
    <col min="15111" max="15111" width="10.7109375" style="60" customWidth="1"/>
    <col min="15112" max="15112" width="11.85546875" style="60" customWidth="1"/>
    <col min="15113" max="15113" width="11.42578125" style="60" customWidth="1"/>
    <col min="15114" max="15114" width="12.28515625" style="60" customWidth="1"/>
    <col min="15115" max="15115" width="11" style="60" customWidth="1"/>
    <col min="15116" max="15116" width="12" style="60" customWidth="1"/>
    <col min="15117" max="15117" width="12.85546875" style="60" bestFit="1" customWidth="1"/>
    <col min="15118" max="15118" width="13.85546875" style="60" customWidth="1"/>
    <col min="15119" max="15119" width="4.85546875" style="60" bestFit="1" customWidth="1"/>
    <col min="15120" max="15120" width="12" style="60" bestFit="1" customWidth="1"/>
    <col min="15121" max="15121" width="10.28515625" style="60" bestFit="1" customWidth="1"/>
    <col min="15122" max="15122" width="12" style="60" bestFit="1" customWidth="1"/>
    <col min="15123" max="15123" width="12.5703125" style="60" bestFit="1" customWidth="1"/>
    <col min="15124" max="15124" width="12" style="60" bestFit="1" customWidth="1"/>
    <col min="15125" max="15126" width="11.7109375" style="60" bestFit="1" customWidth="1"/>
    <col min="15127" max="15127" width="11.140625" style="60" bestFit="1" customWidth="1"/>
    <col min="15128" max="15360" width="9.140625" style="60"/>
    <col min="15361" max="15361" width="10.28515625" style="60" customWidth="1"/>
    <col min="15362" max="15362" width="10.42578125" style="60" customWidth="1"/>
    <col min="15363" max="15363" width="12.7109375" style="60" customWidth="1"/>
    <col min="15364" max="15364" width="11.28515625" style="60" customWidth="1"/>
    <col min="15365" max="15365" width="11.85546875" style="60" customWidth="1"/>
    <col min="15366" max="15366" width="11.7109375" style="60" customWidth="1"/>
    <col min="15367" max="15367" width="10.7109375" style="60" customWidth="1"/>
    <col min="15368" max="15368" width="11.85546875" style="60" customWidth="1"/>
    <col min="15369" max="15369" width="11.42578125" style="60" customWidth="1"/>
    <col min="15370" max="15370" width="12.28515625" style="60" customWidth="1"/>
    <col min="15371" max="15371" width="11" style="60" customWidth="1"/>
    <col min="15372" max="15372" width="12" style="60" customWidth="1"/>
    <col min="15373" max="15373" width="12.85546875" style="60" bestFit="1" customWidth="1"/>
    <col min="15374" max="15374" width="13.85546875" style="60" customWidth="1"/>
    <col min="15375" max="15375" width="4.85546875" style="60" bestFit="1" customWidth="1"/>
    <col min="15376" max="15376" width="12" style="60" bestFit="1" customWidth="1"/>
    <col min="15377" max="15377" width="10.28515625" style="60" bestFit="1" customWidth="1"/>
    <col min="15378" max="15378" width="12" style="60" bestFit="1" customWidth="1"/>
    <col min="15379" max="15379" width="12.5703125" style="60" bestFit="1" customWidth="1"/>
    <col min="15380" max="15380" width="12" style="60" bestFit="1" customWidth="1"/>
    <col min="15381" max="15382" width="11.7109375" style="60" bestFit="1" customWidth="1"/>
    <col min="15383" max="15383" width="11.140625" style="60" bestFit="1" customWidth="1"/>
    <col min="15384" max="15616" width="9.140625" style="60"/>
    <col min="15617" max="15617" width="10.28515625" style="60" customWidth="1"/>
    <col min="15618" max="15618" width="10.42578125" style="60" customWidth="1"/>
    <col min="15619" max="15619" width="12.7109375" style="60" customWidth="1"/>
    <col min="15620" max="15620" width="11.28515625" style="60" customWidth="1"/>
    <col min="15621" max="15621" width="11.85546875" style="60" customWidth="1"/>
    <col min="15622" max="15622" width="11.7109375" style="60" customWidth="1"/>
    <col min="15623" max="15623" width="10.7109375" style="60" customWidth="1"/>
    <col min="15624" max="15624" width="11.85546875" style="60" customWidth="1"/>
    <col min="15625" max="15625" width="11.42578125" style="60" customWidth="1"/>
    <col min="15626" max="15626" width="12.28515625" style="60" customWidth="1"/>
    <col min="15627" max="15627" width="11" style="60" customWidth="1"/>
    <col min="15628" max="15628" width="12" style="60" customWidth="1"/>
    <col min="15629" max="15629" width="12.85546875" style="60" bestFit="1" customWidth="1"/>
    <col min="15630" max="15630" width="13.85546875" style="60" customWidth="1"/>
    <col min="15631" max="15631" width="4.85546875" style="60" bestFit="1" customWidth="1"/>
    <col min="15632" max="15632" width="12" style="60" bestFit="1" customWidth="1"/>
    <col min="15633" max="15633" width="10.28515625" style="60" bestFit="1" customWidth="1"/>
    <col min="15634" max="15634" width="12" style="60" bestFit="1" customWidth="1"/>
    <col min="15635" max="15635" width="12.5703125" style="60" bestFit="1" customWidth="1"/>
    <col min="15636" max="15636" width="12" style="60" bestFit="1" customWidth="1"/>
    <col min="15637" max="15638" width="11.7109375" style="60" bestFit="1" customWidth="1"/>
    <col min="15639" max="15639" width="11.140625" style="60" bestFit="1" customWidth="1"/>
    <col min="15640" max="15872" width="9.140625" style="60"/>
    <col min="15873" max="15873" width="10.28515625" style="60" customWidth="1"/>
    <col min="15874" max="15874" width="10.42578125" style="60" customWidth="1"/>
    <col min="15875" max="15875" width="12.7109375" style="60" customWidth="1"/>
    <col min="15876" max="15876" width="11.28515625" style="60" customWidth="1"/>
    <col min="15877" max="15877" width="11.85546875" style="60" customWidth="1"/>
    <col min="15878" max="15878" width="11.7109375" style="60" customWidth="1"/>
    <col min="15879" max="15879" width="10.7109375" style="60" customWidth="1"/>
    <col min="15880" max="15880" width="11.85546875" style="60" customWidth="1"/>
    <col min="15881" max="15881" width="11.42578125" style="60" customWidth="1"/>
    <col min="15882" max="15882" width="12.28515625" style="60" customWidth="1"/>
    <col min="15883" max="15883" width="11" style="60" customWidth="1"/>
    <col min="15884" max="15884" width="12" style="60" customWidth="1"/>
    <col min="15885" max="15885" width="12.85546875" style="60" bestFit="1" customWidth="1"/>
    <col min="15886" max="15886" width="13.85546875" style="60" customWidth="1"/>
    <col min="15887" max="15887" width="4.85546875" style="60" bestFit="1" customWidth="1"/>
    <col min="15888" max="15888" width="12" style="60" bestFit="1" customWidth="1"/>
    <col min="15889" max="15889" width="10.28515625" style="60" bestFit="1" customWidth="1"/>
    <col min="15890" max="15890" width="12" style="60" bestFit="1" customWidth="1"/>
    <col min="15891" max="15891" width="12.5703125" style="60" bestFit="1" customWidth="1"/>
    <col min="15892" max="15892" width="12" style="60" bestFit="1" customWidth="1"/>
    <col min="15893" max="15894" width="11.7109375" style="60" bestFit="1" customWidth="1"/>
    <col min="15895" max="15895" width="11.140625" style="60" bestFit="1" customWidth="1"/>
    <col min="15896" max="16128" width="9.140625" style="60"/>
    <col min="16129" max="16129" width="10.28515625" style="60" customWidth="1"/>
    <col min="16130" max="16130" width="10.42578125" style="60" customWidth="1"/>
    <col min="16131" max="16131" width="12.7109375" style="60" customWidth="1"/>
    <col min="16132" max="16132" width="11.28515625" style="60" customWidth="1"/>
    <col min="16133" max="16133" width="11.85546875" style="60" customWidth="1"/>
    <col min="16134" max="16134" width="11.7109375" style="60" customWidth="1"/>
    <col min="16135" max="16135" width="10.7109375" style="60" customWidth="1"/>
    <col min="16136" max="16136" width="11.85546875" style="60" customWidth="1"/>
    <col min="16137" max="16137" width="11.42578125" style="60" customWidth="1"/>
    <col min="16138" max="16138" width="12.28515625" style="60" customWidth="1"/>
    <col min="16139" max="16139" width="11" style="60" customWidth="1"/>
    <col min="16140" max="16140" width="12" style="60" customWidth="1"/>
    <col min="16141" max="16141" width="12.85546875" style="60" bestFit="1" customWidth="1"/>
    <col min="16142" max="16142" width="13.85546875" style="60" customWidth="1"/>
    <col min="16143" max="16143" width="4.85546875" style="60" bestFit="1" customWidth="1"/>
    <col min="16144" max="16144" width="12" style="60" bestFit="1" customWidth="1"/>
    <col min="16145" max="16145" width="10.28515625" style="60" bestFit="1" customWidth="1"/>
    <col min="16146" max="16146" width="12" style="60" bestFit="1" customWidth="1"/>
    <col min="16147" max="16147" width="12.5703125" style="60" bestFit="1" customWidth="1"/>
    <col min="16148" max="16148" width="12" style="60" bestFit="1" customWidth="1"/>
    <col min="16149" max="16150" width="11.7109375" style="60" bestFit="1" customWidth="1"/>
    <col min="16151" max="16151" width="11.140625" style="60" bestFit="1" customWidth="1"/>
    <col min="16152" max="16384" width="9.140625" style="60"/>
  </cols>
  <sheetData>
    <row r="1" spans="1:24">
      <c r="A1" s="152"/>
      <c r="B1" s="153" t="s">
        <v>219</v>
      </c>
    </row>
    <row r="2" spans="1:24">
      <c r="A2" s="60" t="s">
        <v>220</v>
      </c>
      <c r="B2" s="60" t="s">
        <v>1287</v>
      </c>
      <c r="E2" s="60" t="s">
        <v>221</v>
      </c>
    </row>
    <row r="3" spans="1:24" s="62" customFormat="1" ht="8.25">
      <c r="C3" s="64"/>
      <c r="D3" s="64"/>
    </row>
    <row r="4" spans="1:24">
      <c r="A4" s="60" t="s">
        <v>222</v>
      </c>
      <c r="D4" s="154"/>
      <c r="P4" s="62"/>
      <c r="Q4" s="62"/>
      <c r="R4" s="62"/>
      <c r="S4" s="62"/>
      <c r="T4" s="62"/>
      <c r="U4" s="62"/>
      <c r="V4" s="62"/>
      <c r="W4" s="62"/>
      <c r="X4" s="62"/>
    </row>
    <row r="5" spans="1:24">
      <c r="A5" s="60" t="s">
        <v>223</v>
      </c>
      <c r="D5" s="154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</row>
    <row r="6" spans="1:24" s="62" customFormat="1">
      <c r="D6" s="64"/>
      <c r="I6" s="63"/>
      <c r="M6" s="60"/>
    </row>
    <row r="7" spans="1:24">
      <c r="A7" s="155" t="s">
        <v>224</v>
      </c>
      <c r="B7" s="156" t="s">
        <v>225</v>
      </c>
      <c r="C7" s="157" t="s">
        <v>226</v>
      </c>
      <c r="D7" s="156" t="s">
        <v>227</v>
      </c>
      <c r="E7" s="793" t="s">
        <v>228</v>
      </c>
      <c r="F7" s="794"/>
      <c r="G7" s="793" t="s">
        <v>229</v>
      </c>
      <c r="H7" s="794"/>
      <c r="I7" s="795" t="s">
        <v>230</v>
      </c>
      <c r="J7" s="796"/>
      <c r="K7" s="80" t="s">
        <v>231</v>
      </c>
      <c r="L7" s="157" t="s">
        <v>232</v>
      </c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</row>
    <row r="8" spans="1:24">
      <c r="A8" s="158" t="s">
        <v>233</v>
      </c>
      <c r="B8" s="159" t="s">
        <v>234</v>
      </c>
      <c r="C8" s="160">
        <v>3488232.14</v>
      </c>
      <c r="D8" s="161">
        <v>1679007.27</v>
      </c>
      <c r="E8" s="162">
        <f>D8*0.6</f>
        <v>1007404.362</v>
      </c>
      <c r="F8" s="162">
        <f t="shared" ref="F8:F19" si="0">(((D8*0.6)/12)*6)-E8</f>
        <v>-503702.18099999998</v>
      </c>
      <c r="G8" s="162">
        <f>D8*0.25</f>
        <v>419751.8175</v>
      </c>
      <c r="H8" s="162">
        <f t="shared" ref="H8:H15" si="1">(((C8*0.25)/12)*6)-G8</f>
        <v>16277.199999999953</v>
      </c>
      <c r="I8" s="163"/>
      <c r="J8" s="164"/>
      <c r="K8" s="165">
        <f>D8*0.15</f>
        <v>251851.09049999999</v>
      </c>
      <c r="L8" s="162">
        <f t="shared" ref="L8:L15" si="2">(((C8*0.25)/12)*6)-K8</f>
        <v>184177.92699999997</v>
      </c>
      <c r="N8" s="62"/>
      <c r="P8" s="62"/>
      <c r="Q8" s="62"/>
      <c r="R8" s="62"/>
      <c r="S8" s="62"/>
      <c r="T8" s="62"/>
      <c r="U8" s="62"/>
      <c r="V8" s="62"/>
      <c r="W8" s="62"/>
      <c r="X8" s="62"/>
    </row>
    <row r="9" spans="1:24">
      <c r="A9" s="158" t="s">
        <v>235</v>
      </c>
      <c r="B9" s="159" t="s">
        <v>236</v>
      </c>
      <c r="C9" s="160">
        <v>4037453.83</v>
      </c>
      <c r="D9" s="166">
        <v>2130194.98</v>
      </c>
      <c r="E9" s="167">
        <f t="shared" ref="E9:E19" si="3">D9*0.6</f>
        <v>1278116.9879999999</v>
      </c>
      <c r="F9" s="167">
        <f t="shared" si="0"/>
        <v>-639058.49399999995</v>
      </c>
      <c r="G9" s="167">
        <f>D9*0.25</f>
        <v>532548.745</v>
      </c>
      <c r="H9" s="167">
        <f t="shared" si="1"/>
        <v>-27867.016249999986</v>
      </c>
      <c r="I9" s="163"/>
      <c r="J9" s="164"/>
      <c r="K9" s="165">
        <f t="shared" ref="K9:K19" si="4">D9*0.15</f>
        <v>319529.24699999997</v>
      </c>
      <c r="L9" s="167">
        <f t="shared" si="2"/>
        <v>185152.48175000004</v>
      </c>
      <c r="N9" s="62"/>
      <c r="O9" s="62"/>
      <c r="P9" s="166"/>
      <c r="Q9" s="62"/>
      <c r="R9" s="62"/>
      <c r="S9" s="62"/>
      <c r="T9" s="62"/>
      <c r="U9" s="62"/>
      <c r="V9" s="62"/>
      <c r="W9" s="62"/>
      <c r="X9" s="62"/>
    </row>
    <row r="10" spans="1:24">
      <c r="A10" s="158" t="s">
        <v>237</v>
      </c>
      <c r="B10" s="159" t="s">
        <v>238</v>
      </c>
      <c r="C10" s="160">
        <v>1078358.27</v>
      </c>
      <c r="D10" s="166">
        <v>1038829.71</v>
      </c>
      <c r="E10" s="167">
        <f>D10*0.6</f>
        <v>623297.826</v>
      </c>
      <c r="F10" s="167">
        <f t="shared" si="0"/>
        <v>-311648.913</v>
      </c>
      <c r="G10" s="167">
        <f>D10*0.25</f>
        <v>259707.42749999999</v>
      </c>
      <c r="H10" s="167">
        <f t="shared" si="1"/>
        <v>-124912.64374999999</v>
      </c>
      <c r="I10" s="163"/>
      <c r="J10" s="164"/>
      <c r="K10" s="165">
        <f t="shared" si="4"/>
        <v>155824.4565</v>
      </c>
      <c r="L10" s="167">
        <f t="shared" si="2"/>
        <v>-21029.672749999998</v>
      </c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</row>
    <row r="11" spans="1:24">
      <c r="A11" s="158" t="s">
        <v>239</v>
      </c>
      <c r="B11" s="159" t="s">
        <v>240</v>
      </c>
      <c r="C11" s="160">
        <v>5723855.79</v>
      </c>
      <c r="D11" s="166">
        <v>1759748.38</v>
      </c>
      <c r="E11" s="167">
        <f t="shared" si="3"/>
        <v>1055849.0279999999</v>
      </c>
      <c r="F11" s="167">
        <f t="shared" si="0"/>
        <v>-527924.51399999997</v>
      </c>
      <c r="G11" s="168">
        <f>D11*0.25</f>
        <v>439937.09499999997</v>
      </c>
      <c r="H11" s="167">
        <f t="shared" si="1"/>
        <v>275544.87875000003</v>
      </c>
      <c r="I11" s="163"/>
      <c r="J11" s="164"/>
      <c r="K11" s="165">
        <f t="shared" si="4"/>
        <v>263962.25699999998</v>
      </c>
      <c r="L11" s="167">
        <f t="shared" si="2"/>
        <v>451519.71675000002</v>
      </c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</row>
    <row r="12" spans="1:24">
      <c r="A12" s="158" t="s">
        <v>241</v>
      </c>
      <c r="B12" s="169" t="s">
        <v>242</v>
      </c>
      <c r="C12" s="170">
        <f>18851876.16+4712969.04</f>
        <v>23564845.199999999</v>
      </c>
      <c r="D12" s="161">
        <f>11137415.83+2784353.81</f>
        <v>13921769.640000001</v>
      </c>
      <c r="E12" s="171">
        <f t="shared" si="3"/>
        <v>8353061.784</v>
      </c>
      <c r="F12" s="167">
        <f t="shared" si="0"/>
        <v>-4176530.892</v>
      </c>
      <c r="G12" s="172">
        <f>(D12*0.05)</f>
        <v>696088.48200000008</v>
      </c>
      <c r="H12" s="168">
        <f t="shared" si="1"/>
        <v>2249517.1679999996</v>
      </c>
      <c r="I12" s="173">
        <f>-D12*0.2</f>
        <v>-2784353.9280000003</v>
      </c>
      <c r="J12" s="174">
        <f>(((C12*0.2)/12)*6)+I12</f>
        <v>-427869.40800000029</v>
      </c>
      <c r="K12" s="165">
        <f t="shared" si="4"/>
        <v>2088265.446</v>
      </c>
      <c r="L12" s="167">
        <f t="shared" si="2"/>
        <v>857340.20399999991</v>
      </c>
      <c r="M12" s="175"/>
      <c r="N12" s="63"/>
      <c r="P12" s="62"/>
      <c r="Q12" s="62"/>
      <c r="R12" s="62"/>
      <c r="S12" s="62"/>
      <c r="T12" s="62"/>
      <c r="U12" s="62"/>
      <c r="V12" s="62"/>
      <c r="W12" s="62"/>
      <c r="X12" s="62"/>
    </row>
    <row r="13" spans="1:24">
      <c r="A13" s="158" t="s">
        <v>243</v>
      </c>
      <c r="B13" s="159" t="s">
        <v>244</v>
      </c>
      <c r="C13" s="160">
        <f>1282878.01</f>
        <v>1282878.01</v>
      </c>
      <c r="D13" s="166"/>
      <c r="E13" s="167">
        <f t="shared" si="3"/>
        <v>0</v>
      </c>
      <c r="F13" s="167">
        <f t="shared" si="0"/>
        <v>0</v>
      </c>
      <c r="G13" s="167">
        <f>D13*0.25</f>
        <v>0</v>
      </c>
      <c r="H13" s="167">
        <f t="shared" si="1"/>
        <v>160359.75125</v>
      </c>
      <c r="I13" s="163"/>
      <c r="J13" s="164"/>
      <c r="K13" s="165">
        <f t="shared" si="4"/>
        <v>0</v>
      </c>
      <c r="L13" s="167">
        <f t="shared" si="2"/>
        <v>160359.75125</v>
      </c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</row>
    <row r="14" spans="1:24">
      <c r="A14" s="158" t="s">
        <v>245</v>
      </c>
      <c r="B14" s="159" t="s">
        <v>244</v>
      </c>
      <c r="C14" s="160">
        <f>1014102.37</f>
        <v>1014102.37</v>
      </c>
      <c r="D14" s="166"/>
      <c r="E14" s="167">
        <f t="shared" si="3"/>
        <v>0</v>
      </c>
      <c r="F14" s="167">
        <f t="shared" si="0"/>
        <v>0</v>
      </c>
      <c r="G14" s="167">
        <f>D14*0.25</f>
        <v>0</v>
      </c>
      <c r="H14" s="167">
        <f t="shared" si="1"/>
        <v>126762.79625000001</v>
      </c>
      <c r="I14" s="163"/>
      <c r="J14" s="164"/>
      <c r="K14" s="165">
        <f t="shared" si="4"/>
        <v>0</v>
      </c>
      <c r="L14" s="167">
        <f t="shared" si="2"/>
        <v>126762.79625000001</v>
      </c>
      <c r="N14" s="62"/>
      <c r="O14" s="62"/>
      <c r="P14" s="64"/>
      <c r="Q14" s="64"/>
      <c r="R14" s="62"/>
      <c r="S14" s="62"/>
      <c r="T14" s="62"/>
      <c r="U14" s="62"/>
      <c r="V14" s="62"/>
      <c r="W14" s="62"/>
      <c r="X14" s="62"/>
    </row>
    <row r="15" spans="1:24">
      <c r="A15" s="158" t="s">
        <v>246</v>
      </c>
      <c r="B15" s="169" t="s">
        <v>247</v>
      </c>
      <c r="C15" s="170">
        <f>736320+184080</f>
        <v>920400</v>
      </c>
      <c r="D15" s="161">
        <f>48259.57+12064.8</f>
        <v>60324.369999999995</v>
      </c>
      <c r="E15" s="171">
        <f t="shared" si="3"/>
        <v>36194.621999999996</v>
      </c>
      <c r="F15" s="167">
        <f t="shared" si="0"/>
        <v>-18097.310999999998</v>
      </c>
      <c r="G15" s="171">
        <f>(D15*0.05)</f>
        <v>3016.2184999999999</v>
      </c>
      <c r="H15" s="167">
        <f t="shared" si="1"/>
        <v>112033.7815</v>
      </c>
      <c r="I15" s="173">
        <f>-D15*0.2</f>
        <v>-12064.874</v>
      </c>
      <c r="J15" s="174">
        <f>(((C15*0.2)/12)*6)+I15</f>
        <v>79975.126000000004</v>
      </c>
      <c r="K15" s="165">
        <f t="shared" si="4"/>
        <v>9048.6554999999989</v>
      </c>
      <c r="L15" s="167">
        <f t="shared" si="2"/>
        <v>106001.34450000001</v>
      </c>
      <c r="M15" s="175"/>
      <c r="N15" s="63"/>
      <c r="O15" s="62"/>
      <c r="P15" s="64"/>
      <c r="Q15" s="137"/>
      <c r="R15" s="62"/>
      <c r="S15" s="62"/>
      <c r="T15" s="62"/>
      <c r="U15" s="62"/>
      <c r="V15" s="62"/>
      <c r="W15" s="62"/>
      <c r="X15" s="62"/>
    </row>
    <row r="16" spans="1:24">
      <c r="A16" s="158" t="s">
        <v>248</v>
      </c>
      <c r="B16" s="169" t="s">
        <v>249</v>
      </c>
      <c r="C16" s="170">
        <f>130791.45+32697.86</f>
        <v>163489.31</v>
      </c>
      <c r="D16" s="161"/>
      <c r="E16" s="171">
        <f>D16*1</f>
        <v>0</v>
      </c>
      <c r="F16" s="167">
        <f t="shared" si="0"/>
        <v>0</v>
      </c>
      <c r="G16" s="171"/>
      <c r="H16" s="167"/>
      <c r="I16" s="173"/>
      <c r="J16" s="174"/>
      <c r="K16" s="165"/>
      <c r="L16" s="167"/>
      <c r="N16" s="62"/>
      <c r="Q16" s="62"/>
      <c r="R16" s="62"/>
      <c r="S16" s="62"/>
      <c r="T16" s="62"/>
      <c r="U16" s="62"/>
      <c r="V16" s="62"/>
      <c r="W16" s="62"/>
      <c r="X16" s="62"/>
    </row>
    <row r="17" spans="1:24">
      <c r="A17" s="158" t="s">
        <v>250</v>
      </c>
      <c r="B17" s="169" t="s">
        <v>251</v>
      </c>
      <c r="C17" s="170">
        <f>22409830.01+5602457.5</f>
        <v>28012287.510000002</v>
      </c>
      <c r="D17" s="161">
        <f>12559368.39+3164059.49</f>
        <v>15723427.880000001</v>
      </c>
      <c r="E17" s="176">
        <f t="shared" si="3"/>
        <v>9434056.7280000001</v>
      </c>
      <c r="F17" s="167">
        <f t="shared" si="0"/>
        <v>-4717028.3640000001</v>
      </c>
      <c r="G17" s="176">
        <f>(D17*0.05)</f>
        <v>786171.39400000009</v>
      </c>
      <c r="H17" s="167">
        <f>(((C17*0.25)/12)*6)-G17</f>
        <v>2715364.5447499994</v>
      </c>
      <c r="I17" s="177">
        <f>-D17*0.2</f>
        <v>-3144685.5760000004</v>
      </c>
      <c r="J17" s="178">
        <f>(((C17*0.2)/12)*6)+I17</f>
        <v>-343456.82500000019</v>
      </c>
      <c r="K17" s="165">
        <f t="shared" si="4"/>
        <v>2358514.182</v>
      </c>
      <c r="L17" s="167">
        <f>(((C17*0.25)/12)*6)-K17</f>
        <v>1143021.7567499997</v>
      </c>
      <c r="M17" s="175"/>
      <c r="N17" s="63"/>
      <c r="O17" s="62"/>
      <c r="P17" s="62"/>
      <c r="Q17" s="62"/>
      <c r="R17" s="62"/>
      <c r="S17" s="62"/>
      <c r="T17" s="62"/>
      <c r="U17" s="62"/>
      <c r="V17" s="62"/>
      <c r="W17" s="62"/>
      <c r="X17" s="62"/>
    </row>
    <row r="18" spans="1:24">
      <c r="A18" s="158" t="s">
        <v>252</v>
      </c>
      <c r="B18" s="169" t="s">
        <v>253</v>
      </c>
      <c r="C18" s="170">
        <f>2323787+580946.75</f>
        <v>2904733.75</v>
      </c>
      <c r="D18" s="161">
        <f>1867508.66+466877.29</f>
        <v>2334385.9499999997</v>
      </c>
      <c r="E18" s="171">
        <f t="shared" si="3"/>
        <v>1400631.5699999998</v>
      </c>
      <c r="F18" s="167">
        <f t="shared" si="0"/>
        <v>-700315.78499999992</v>
      </c>
      <c r="G18" s="171">
        <f>(D18*0.05)</f>
        <v>116719.29749999999</v>
      </c>
      <c r="H18" s="167">
        <f>(((C18*0.25)/12)*6)-G18</f>
        <v>246372.42125000001</v>
      </c>
      <c r="I18" s="173">
        <f>-D18*0.2</f>
        <v>-466877.18999999994</v>
      </c>
      <c r="J18" s="174">
        <f>(((C18*0.2)/12)*6)+I18</f>
        <v>-176403.81499999994</v>
      </c>
      <c r="K18" s="165">
        <f t="shared" si="4"/>
        <v>350157.89249999996</v>
      </c>
      <c r="L18" s="167">
        <f>(((C18*0.25)/12)*6)-K18</f>
        <v>12933.826250000042</v>
      </c>
      <c r="M18" s="175"/>
      <c r="N18" s="63"/>
      <c r="O18" s="62"/>
      <c r="P18" s="62"/>
      <c r="Q18" s="62"/>
      <c r="R18" s="62"/>
      <c r="S18" s="62"/>
      <c r="T18" s="62"/>
      <c r="U18" s="62"/>
      <c r="V18" s="62"/>
      <c r="W18" s="62"/>
      <c r="X18" s="62"/>
    </row>
    <row r="19" spans="1:24">
      <c r="A19" s="158" t="s">
        <v>254</v>
      </c>
      <c r="B19" s="169" t="s">
        <v>255</v>
      </c>
      <c r="C19" s="170">
        <f>291734.01+72933.5</f>
        <v>364667.51</v>
      </c>
      <c r="D19" s="161">
        <f>155411.59+38852.94</f>
        <v>194264.53</v>
      </c>
      <c r="E19" s="171">
        <f t="shared" si="3"/>
        <v>116558.71799999999</v>
      </c>
      <c r="F19" s="167">
        <f t="shared" si="0"/>
        <v>-58279.358999999997</v>
      </c>
      <c r="G19" s="171">
        <f>(D19*0.05)</f>
        <v>9713.2265000000007</v>
      </c>
      <c r="H19" s="167">
        <f>(((C19*0.25)/12)*6)-G19</f>
        <v>35870.212249999997</v>
      </c>
      <c r="I19" s="173">
        <f>-D19*0.2</f>
        <v>-38852.906000000003</v>
      </c>
      <c r="J19" s="174">
        <f>(((C19*0.2)/12)*6)+I19</f>
        <v>-2386.1549999999988</v>
      </c>
      <c r="K19" s="165">
        <f t="shared" si="4"/>
        <v>29139.679499999998</v>
      </c>
      <c r="L19" s="167">
        <f>(((C19*0.25)/12)*6)-K19</f>
        <v>16443.759250000003</v>
      </c>
      <c r="M19" s="175"/>
      <c r="N19" s="63"/>
      <c r="O19" s="62"/>
      <c r="P19" s="62"/>
      <c r="Q19" s="62"/>
      <c r="R19" s="62"/>
      <c r="S19" s="62"/>
      <c r="T19" s="62"/>
      <c r="U19" s="62"/>
      <c r="V19" s="62"/>
      <c r="W19" s="62"/>
      <c r="X19" s="62"/>
    </row>
    <row r="20" spans="1:24">
      <c r="A20" s="158" t="s">
        <v>256</v>
      </c>
      <c r="B20" s="159" t="s">
        <v>257</v>
      </c>
      <c r="C20" s="160">
        <f>19076280</f>
        <v>19076280</v>
      </c>
      <c r="D20" s="166">
        <f>12865617.64</f>
        <v>12865617.640000001</v>
      </c>
      <c r="E20" s="160"/>
      <c r="F20" s="160"/>
      <c r="G20" s="160"/>
      <c r="H20" s="160"/>
      <c r="I20" s="167">
        <f>-SUM(I12+SUM(I15:I19))-6466208.33</f>
        <v>-19373.85599999968</v>
      </c>
      <c r="J20" s="166"/>
      <c r="K20" s="179"/>
      <c r="L20" s="158"/>
      <c r="M20" s="175"/>
      <c r="N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24">
      <c r="A21" s="180"/>
      <c r="B21" s="181" t="s">
        <v>12</v>
      </c>
      <c r="C21" s="101">
        <f>SUM(C8:C20)</f>
        <v>91631583.690000013</v>
      </c>
      <c r="D21" s="182">
        <f>SUM(D8:D20)</f>
        <v>51707570.350000009</v>
      </c>
      <c r="E21" s="101">
        <f t="shared" ref="E21:L21" si="5">SUM(E8:E20)</f>
        <v>23305171.625999998</v>
      </c>
      <c r="F21" s="101">
        <f t="shared" si="5"/>
        <v>-11652585.812999999</v>
      </c>
      <c r="G21" s="101">
        <f t="shared" si="5"/>
        <v>3263653.7034999994</v>
      </c>
      <c r="H21" s="101">
        <f t="shared" si="5"/>
        <v>5785323.0939999996</v>
      </c>
      <c r="I21" s="183">
        <f>SUM(I8:I20)</f>
        <v>-6466208.3300000001</v>
      </c>
      <c r="J21" s="183">
        <f>SUM(J8:J20)</f>
        <v>-870141.07700000051</v>
      </c>
      <c r="K21" s="184">
        <f t="shared" si="5"/>
        <v>5826292.9064999996</v>
      </c>
      <c r="L21" s="101">
        <f t="shared" si="5"/>
        <v>3222683.8909999998</v>
      </c>
      <c r="N21" s="62"/>
      <c r="O21" s="62"/>
      <c r="P21" s="62"/>
      <c r="Q21" s="62"/>
      <c r="R21" s="64"/>
      <c r="S21" s="62"/>
      <c r="T21" s="62"/>
      <c r="U21" s="62"/>
      <c r="V21" s="62"/>
      <c r="W21" s="62"/>
      <c r="X21" s="62"/>
    </row>
    <row r="22" spans="1:24">
      <c r="C22" s="102" t="s">
        <v>258</v>
      </c>
      <c r="D22" s="185">
        <f>D21/C21</f>
        <v>0.56429855588802824</v>
      </c>
      <c r="F22" s="186" t="s">
        <v>259</v>
      </c>
      <c r="G22" s="81" t="s">
        <v>260</v>
      </c>
      <c r="I22" s="80" t="s">
        <v>261</v>
      </c>
      <c r="J22" s="81" t="s">
        <v>262</v>
      </c>
      <c r="K22" s="81" t="s">
        <v>263</v>
      </c>
      <c r="L22" s="81" t="s">
        <v>211</v>
      </c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>
      <c r="B23" s="175"/>
      <c r="C23" s="187" t="s">
        <v>264</v>
      </c>
      <c r="D23" s="185">
        <f>C27/D20</f>
        <v>0.87307683815170489</v>
      </c>
      <c r="F23" s="186" t="s">
        <v>265</v>
      </c>
      <c r="G23" s="48">
        <f>I33+J33</f>
        <v>15327097.99</v>
      </c>
      <c r="H23" s="188"/>
      <c r="I23" s="80" t="s">
        <v>266</v>
      </c>
      <c r="J23" s="189">
        <f>D27</f>
        <v>9549251.3200000003</v>
      </c>
      <c r="K23" s="186"/>
      <c r="L23" s="186">
        <f>SUM(J23:K23)</f>
        <v>9549251.3200000003</v>
      </c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>
      <c r="A24" s="190"/>
      <c r="B24" s="64"/>
      <c r="D24" s="175"/>
      <c r="F24" s="191" t="s">
        <v>267</v>
      </c>
      <c r="G24" s="48">
        <f>D20+I21</f>
        <v>6399409.3100000005</v>
      </c>
      <c r="I24" s="192" t="s">
        <v>270</v>
      </c>
      <c r="J24" s="186">
        <f>1194420.74</f>
        <v>1194420.74</v>
      </c>
      <c r="K24" s="186"/>
      <c r="L24" s="186">
        <f>SUM(J24:K24)</f>
        <v>1194420.74</v>
      </c>
      <c r="N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>
      <c r="A25" s="192" t="s">
        <v>266</v>
      </c>
      <c r="B25" s="81" t="s">
        <v>268</v>
      </c>
      <c r="C25" s="81" t="s">
        <v>257</v>
      </c>
      <c r="D25" s="81" t="s">
        <v>262</v>
      </c>
      <c r="E25" s="193"/>
      <c r="F25" s="194" t="s">
        <v>269</v>
      </c>
      <c r="G25" s="186">
        <f>B34</f>
        <v>137.44</v>
      </c>
      <c r="I25" s="192" t="s">
        <v>273</v>
      </c>
      <c r="J25" s="186">
        <f>126332.59</f>
        <v>126332.59</v>
      </c>
      <c r="K25" s="192"/>
      <c r="L25" s="186">
        <f>SUM(J25:K25)</f>
        <v>126332.59</v>
      </c>
      <c r="N25" s="64"/>
      <c r="O25" s="62"/>
      <c r="P25" s="62"/>
      <c r="Q25" s="62"/>
      <c r="R25" s="64"/>
      <c r="S25" s="62"/>
      <c r="T25" s="62"/>
      <c r="U25" s="62"/>
      <c r="V25" s="62"/>
      <c r="W25" s="62"/>
      <c r="X25" s="62"/>
    </row>
    <row r="26" spans="1:24">
      <c r="A26" s="192" t="s">
        <v>271</v>
      </c>
      <c r="B26" s="195">
        <f>4094425.22</f>
        <v>4094425.22</v>
      </c>
      <c r="C26" s="186">
        <v>11232672.77</v>
      </c>
      <c r="D26" s="48">
        <v>10244486.880000001</v>
      </c>
      <c r="E26" s="196"/>
      <c r="F26" s="197" t="s">
        <v>272</v>
      </c>
      <c r="G26" s="186">
        <f>C34</f>
        <v>10075.08</v>
      </c>
      <c r="I26" s="200" t="s">
        <v>276</v>
      </c>
      <c r="J26" s="186">
        <f>D34</f>
        <v>283.83999999999997</v>
      </c>
      <c r="K26" s="186"/>
      <c r="L26" s="186">
        <f>SUM(J26:K26)</f>
        <v>283.83999999999997</v>
      </c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  <row r="27" spans="1:24">
      <c r="A27" s="192" t="s">
        <v>274</v>
      </c>
      <c r="B27" s="48">
        <v>3976552.95</v>
      </c>
      <c r="C27" s="100">
        <v>11232672.77</v>
      </c>
      <c r="D27" s="189">
        <v>9549251.3200000003</v>
      </c>
      <c r="F27" s="198" t="s">
        <v>275</v>
      </c>
      <c r="G27" s="199">
        <f>SUM(I34:J35)</f>
        <v>2614596.4499999997</v>
      </c>
      <c r="I27" s="81" t="s">
        <v>279</v>
      </c>
      <c r="J27" s="199">
        <f>J23-SUM(J24:J26)</f>
        <v>8228214.1500000004</v>
      </c>
      <c r="K27" s="203">
        <f>K23-SUM(K24:K26)</f>
        <v>0</v>
      </c>
      <c r="L27" s="203">
        <f>L23-SUM(L24:L26)</f>
        <v>8228214.1500000004</v>
      </c>
      <c r="M27" s="432"/>
      <c r="N27" s="63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24">
      <c r="A28" s="192" t="s">
        <v>277</v>
      </c>
      <c r="B28" s="48">
        <v>3623585.23</v>
      </c>
      <c r="C28" s="186">
        <v>10446240.76</v>
      </c>
      <c r="D28" s="48">
        <v>8520195.7300000004</v>
      </c>
      <c r="E28" s="201"/>
      <c r="F28" s="191" t="s">
        <v>278</v>
      </c>
      <c r="G28" s="199">
        <f>G23-SUM(G24:G27)</f>
        <v>6302879.709999999</v>
      </c>
      <c r="H28" s="202"/>
      <c r="I28" s="192" t="s">
        <v>282</v>
      </c>
      <c r="J28" s="100">
        <f>(J27/(SUM(D8:D19))*100)</f>
        <v>21.18383236659885</v>
      </c>
      <c r="K28" s="100">
        <f>(K27/(SUM(D8:D19)))*100</f>
        <v>0</v>
      </c>
      <c r="L28" s="208">
        <f>(L27/(SUM(D8:D19)))*100</f>
        <v>21.18383236659885</v>
      </c>
      <c r="N28" s="62"/>
      <c r="P28" s="62"/>
      <c r="Q28" s="62"/>
      <c r="R28" s="62"/>
      <c r="S28" s="62"/>
      <c r="T28" s="62"/>
      <c r="U28" s="62"/>
      <c r="V28" s="62"/>
      <c r="W28" s="62"/>
      <c r="X28" s="62"/>
    </row>
    <row r="29" spans="1:24">
      <c r="A29" s="186" t="s">
        <v>280</v>
      </c>
      <c r="B29" s="204">
        <f>B26/SUM(D8:D19)</f>
        <v>0.10541244541873598</v>
      </c>
      <c r="C29" s="205">
        <f>C26/D20</f>
        <v>0.87307683815170489</v>
      </c>
      <c r="D29" s="205">
        <f>D26/SUM(D8:D19)</f>
        <v>0.26374798807070582</v>
      </c>
      <c r="E29" s="196"/>
      <c r="F29" s="206" t="s">
        <v>281</v>
      </c>
      <c r="G29" s="207">
        <f>G28/(SUM(D8:D19))</f>
        <v>0.16226989814488132</v>
      </c>
      <c r="I29" s="60" t="s">
        <v>1288</v>
      </c>
      <c r="J29" s="64"/>
      <c r="L29" s="154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</row>
    <row r="30" spans="1:24">
      <c r="A30" s="85" t="s">
        <v>283</v>
      </c>
      <c r="B30" s="209">
        <f>(B27-B34)/SUM(D8:D19)</f>
        <v>0.10237424312028105</v>
      </c>
      <c r="C30" s="209">
        <f>(C26-C34)/D20</f>
        <v>0.87229373699932211</v>
      </c>
      <c r="D30" s="209">
        <f>(D27-D34)/SUM(D8:D19)</f>
        <v>0.24584159172671002</v>
      </c>
      <c r="E30" s="159"/>
      <c r="F30" s="200" t="s">
        <v>284</v>
      </c>
      <c r="G30" s="199">
        <f>G28-(SUM(D8:D19)*0.25)</f>
        <v>-3407608.4675000031</v>
      </c>
      <c r="H30" s="210" t="str">
        <f>IF(G30&gt;0," = A MAIOR","= A MENOR")</f>
        <v>= A MENOR</v>
      </c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>
      <c r="A31" s="192" t="s">
        <v>285</v>
      </c>
      <c r="B31" s="205">
        <f>B28/SUM(D8:D19)</f>
        <v>9.3290501048035476E-2</v>
      </c>
      <c r="C31" s="205">
        <f>C27/D20</f>
        <v>0.87307683815170489</v>
      </c>
      <c r="D31" s="205">
        <f>D27/SUM(D8:D19)</f>
        <v>0.24584889928928597</v>
      </c>
      <c r="E31" s="80" t="s">
        <v>286</v>
      </c>
      <c r="G31" s="190"/>
      <c r="H31" s="60" t="s">
        <v>287</v>
      </c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>
      <c r="A32" s="192" t="s">
        <v>288</v>
      </c>
      <c r="B32" s="203">
        <f t="shared" ref="B32:D33" si="6">B26-B27</f>
        <v>117872.27000000002</v>
      </c>
      <c r="C32" s="203">
        <f t="shared" si="6"/>
        <v>0</v>
      </c>
      <c r="D32" s="203">
        <f t="shared" si="6"/>
        <v>695235.56000000052</v>
      </c>
      <c r="E32" s="186">
        <f>SUM(B32:D32)</f>
        <v>813107.83000000054</v>
      </c>
      <c r="G32" s="211"/>
      <c r="H32" s="80" t="s">
        <v>261</v>
      </c>
      <c r="I32" s="81" t="s">
        <v>268</v>
      </c>
      <c r="J32" s="81" t="s">
        <v>257</v>
      </c>
      <c r="K32" s="81" t="s">
        <v>263</v>
      </c>
      <c r="L32" s="81" t="s">
        <v>211</v>
      </c>
      <c r="P32" s="62"/>
      <c r="Q32" s="62"/>
      <c r="R32" s="62"/>
      <c r="S32" s="62"/>
      <c r="T32" s="62"/>
      <c r="U32" s="62"/>
      <c r="V32" s="62"/>
      <c r="W32" s="62"/>
      <c r="X32" s="62"/>
    </row>
    <row r="33" spans="1:24">
      <c r="A33" s="192" t="s">
        <v>289</v>
      </c>
      <c r="B33" s="199">
        <f t="shared" si="6"/>
        <v>352967.7200000002</v>
      </c>
      <c r="C33" s="203">
        <f t="shared" si="6"/>
        <v>786432.00999999978</v>
      </c>
      <c r="D33" s="203">
        <f t="shared" si="6"/>
        <v>1029055.5899999999</v>
      </c>
      <c r="E33" s="186">
        <f>SUM(B33:D33)</f>
        <v>2168455.3199999998</v>
      </c>
      <c r="G33" s="164"/>
      <c r="H33" s="80" t="s">
        <v>266</v>
      </c>
      <c r="I33" s="189">
        <f>B26</f>
        <v>4094425.22</v>
      </c>
      <c r="J33" s="48">
        <f>C27</f>
        <v>11232672.77</v>
      </c>
      <c r="K33" s="212">
        <v>257723.32</v>
      </c>
      <c r="L33" s="213">
        <f>SUM(I33:K33)</f>
        <v>15584821.310000001</v>
      </c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:24">
      <c r="A34" s="192" t="s">
        <v>290</v>
      </c>
      <c r="B34" s="186">
        <f>64.11+73.33</f>
        <v>137.44</v>
      </c>
      <c r="C34" s="186">
        <f>10075.08</f>
        <v>10075.08</v>
      </c>
      <c r="D34" s="186">
        <f>126.64+157.2</f>
        <v>283.83999999999997</v>
      </c>
      <c r="E34" s="186">
        <f>SUM(B34:D34)</f>
        <v>10496.36</v>
      </c>
      <c r="F34" s="188"/>
      <c r="G34" s="164"/>
      <c r="H34" s="192" t="s">
        <v>270</v>
      </c>
      <c r="I34" s="186">
        <f>448318.48</f>
        <v>448318.48</v>
      </c>
      <c r="J34" s="214">
        <v>1956834.9</v>
      </c>
      <c r="K34" s="186">
        <f>23059.45</f>
        <v>23059.45</v>
      </c>
      <c r="L34" s="213">
        <f>SUM(I34:K34)</f>
        <v>2428212.83</v>
      </c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24">
      <c r="A35" s="60" t="s">
        <v>547</v>
      </c>
      <c r="E35" s="215">
        <f>(J33-(J34+J35+J37))/D20</f>
        <v>0.70721626544468008</v>
      </c>
      <c r="F35" s="188"/>
      <c r="G35" s="164"/>
      <c r="H35" s="192" t="s">
        <v>273</v>
      </c>
      <c r="I35" s="216">
        <f>42454.34</f>
        <v>42454.34</v>
      </c>
      <c r="J35" s="186">
        <f>166988.73</f>
        <v>166988.73000000001</v>
      </c>
      <c r="K35" s="186">
        <f>1637.42</f>
        <v>1637.42</v>
      </c>
      <c r="L35" s="213">
        <f>SUM(I35:K35)</f>
        <v>211080.49000000002</v>
      </c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:24">
      <c r="A36" s="188" t="s">
        <v>1286</v>
      </c>
      <c r="B36" s="188"/>
      <c r="C36" s="188"/>
      <c r="D36" s="188"/>
      <c r="E36" s="188"/>
      <c r="F36" s="188"/>
      <c r="G36" s="164"/>
      <c r="H36" s="192" t="s">
        <v>291</v>
      </c>
      <c r="I36" s="192"/>
      <c r="J36" s="186">
        <f>D20+I21</f>
        <v>6399409.3100000005</v>
      </c>
      <c r="K36" s="192"/>
      <c r="L36" s="213">
        <f>SUM(I36:K36)</f>
        <v>6399409.3100000005</v>
      </c>
      <c r="P36" s="62"/>
      <c r="Q36" s="62"/>
      <c r="R36" s="62"/>
      <c r="S36" s="62"/>
      <c r="T36" s="62"/>
      <c r="U36" s="62"/>
      <c r="V36" s="62"/>
      <c r="W36" s="62"/>
      <c r="X36" s="62"/>
    </row>
    <row r="37" spans="1:24">
      <c r="A37" s="60" t="s">
        <v>556</v>
      </c>
      <c r="B37" s="188"/>
      <c r="C37" s="188"/>
      <c r="D37" s="188"/>
      <c r="E37" s="188"/>
      <c r="F37" s="188"/>
      <c r="H37" s="200" t="s">
        <v>276</v>
      </c>
      <c r="I37" s="186">
        <f>B34</f>
        <v>137.44</v>
      </c>
      <c r="J37" s="186">
        <f>C34</f>
        <v>10075.08</v>
      </c>
      <c r="K37" s="216"/>
      <c r="L37" s="213">
        <f>SUM(I37:K37)</f>
        <v>10212.52</v>
      </c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:24">
      <c r="H38" s="81" t="s">
        <v>279</v>
      </c>
      <c r="I38" s="217">
        <f>I33-SUM(I34:I37)</f>
        <v>3603514.9600000004</v>
      </c>
      <c r="J38" s="213">
        <f>J33-SUM(J34:J37)</f>
        <v>2699364.7499999981</v>
      </c>
      <c r="K38" s="213">
        <f>K33-SUM(K34:K37)</f>
        <v>233026.45</v>
      </c>
      <c r="L38" s="203">
        <f>L33-SUM(L34:L37)</f>
        <v>6535906.1600000001</v>
      </c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:24">
      <c r="H39" s="80" t="s">
        <v>292</v>
      </c>
      <c r="I39" s="214">
        <f>(I38/(SUM(D8:D19)))*100</f>
        <v>9.2773784750329025</v>
      </c>
      <c r="J39" s="186">
        <f>(J38/(SUM(D8:D19)))*100</f>
        <v>6.9496113394552292</v>
      </c>
      <c r="K39" s="186">
        <f>(K38/(SUM(D8:D19))*100)</f>
        <v>0.5999349511076626</v>
      </c>
      <c r="L39" s="100">
        <f>(L38/(SUM(D8:D19)))*100</f>
        <v>16.826924765595798</v>
      </c>
      <c r="N39" s="62"/>
      <c r="O39" s="62"/>
      <c r="P39" s="62"/>
      <c r="Q39" s="62"/>
      <c r="R39" s="62"/>
      <c r="S39" s="62"/>
      <c r="T39" s="62"/>
      <c r="U39" s="62"/>
    </row>
    <row r="40" spans="1:24">
      <c r="H40" s="193"/>
      <c r="I40" s="218">
        <f>I39/L39</f>
        <v>0.55134129404330368</v>
      </c>
      <c r="J40" s="218">
        <f>J39/L39</f>
        <v>0.41300543244029658</v>
      </c>
      <c r="K40" s="218">
        <f>K39/L39</f>
        <v>3.5653273516399443E-2</v>
      </c>
      <c r="L40" s="219"/>
      <c r="P40" s="62"/>
      <c r="Q40" s="62"/>
      <c r="R40" s="62"/>
      <c r="S40" s="62"/>
      <c r="T40" s="62"/>
      <c r="U40" s="62"/>
    </row>
    <row r="41" spans="1:24">
      <c r="H41" s="193"/>
      <c r="I41" s="60" t="s">
        <v>1289</v>
      </c>
      <c r="K41" s="164"/>
      <c r="L41" s="219"/>
      <c r="N41" s="62"/>
      <c r="O41" s="62"/>
      <c r="P41" s="62"/>
      <c r="Q41" s="62"/>
      <c r="R41" s="62"/>
      <c r="S41" s="62"/>
      <c r="T41" s="62"/>
      <c r="U41" s="62"/>
    </row>
    <row r="42" spans="1:24">
      <c r="A42" s="60" t="s">
        <v>109</v>
      </c>
      <c r="D42" s="60" t="s">
        <v>110</v>
      </c>
      <c r="G42" s="60" t="s">
        <v>111</v>
      </c>
      <c r="I42" s="397" t="s">
        <v>555</v>
      </c>
      <c r="J42" s="64"/>
      <c r="N42" s="62"/>
      <c r="O42" s="62"/>
      <c r="P42" s="62"/>
      <c r="Q42" s="62"/>
      <c r="R42" s="62"/>
      <c r="S42" s="62"/>
      <c r="T42" s="62"/>
      <c r="U42" s="62"/>
    </row>
    <row r="43" spans="1:24">
      <c r="A43" s="60" t="s">
        <v>112</v>
      </c>
      <c r="D43" s="60" t="s">
        <v>113</v>
      </c>
      <c r="G43" s="60" t="s">
        <v>114</v>
      </c>
      <c r="N43" s="62"/>
      <c r="O43" s="62"/>
      <c r="P43" s="62"/>
      <c r="Q43" s="62"/>
      <c r="R43" s="62"/>
      <c r="S43" s="62"/>
      <c r="T43" s="62"/>
      <c r="U43" s="62"/>
    </row>
    <row r="44" spans="1:24">
      <c r="P44" s="62"/>
      <c r="Q44" s="62"/>
      <c r="R44" s="62"/>
      <c r="S44" s="62"/>
      <c r="T44" s="62"/>
      <c r="U44" s="62"/>
    </row>
    <row r="45" spans="1:24">
      <c r="N45" s="62"/>
      <c r="O45" s="62"/>
      <c r="P45" s="62"/>
      <c r="Q45" s="62"/>
      <c r="R45" s="62"/>
      <c r="S45" s="62"/>
      <c r="T45" s="62"/>
      <c r="U45" s="62"/>
    </row>
    <row r="46" spans="1:24" s="62" customFormat="1" ht="8.25">
      <c r="G46" s="64"/>
      <c r="J46" s="220"/>
    </row>
    <row r="47" spans="1:24" s="105" customFormat="1">
      <c r="A47" s="60"/>
      <c r="B47" s="60"/>
      <c r="C47" s="60"/>
      <c r="D47" s="60"/>
      <c r="E47" s="60"/>
      <c r="F47" s="60"/>
      <c r="G47" s="60"/>
      <c r="H47" s="60"/>
      <c r="L47" s="107"/>
      <c r="N47" s="62"/>
      <c r="O47" s="62"/>
      <c r="P47" s="62"/>
      <c r="Q47" s="62"/>
      <c r="R47" s="62"/>
      <c r="S47" s="62"/>
      <c r="T47" s="62"/>
      <c r="U47" s="62"/>
    </row>
    <row r="48" spans="1:24" s="105" customFormat="1">
      <c r="A48" s="62"/>
      <c r="B48" s="62"/>
      <c r="C48" s="62"/>
      <c r="D48" s="62"/>
      <c r="E48" s="62"/>
      <c r="F48" s="62"/>
      <c r="G48" s="62"/>
      <c r="H48" s="62"/>
      <c r="J48" s="106"/>
      <c r="K48" s="106"/>
      <c r="L48" s="110"/>
      <c r="N48" s="60"/>
      <c r="O48" s="60"/>
      <c r="P48" s="62"/>
      <c r="Q48" s="62"/>
      <c r="R48" s="62"/>
      <c r="S48" s="62"/>
      <c r="T48" s="62"/>
      <c r="U48" s="62"/>
    </row>
    <row r="49" spans="1:21">
      <c r="J49" s="221"/>
      <c r="K49" s="221"/>
      <c r="L49" s="221"/>
      <c r="N49" s="62"/>
      <c r="O49" s="62"/>
      <c r="P49" s="62"/>
      <c r="Q49" s="62"/>
      <c r="R49" s="62"/>
      <c r="S49" s="62"/>
      <c r="T49" s="62"/>
      <c r="U49" s="62"/>
    </row>
    <row r="50" spans="1:21">
      <c r="A50" s="62"/>
      <c r="B50" s="62"/>
      <c r="C50" s="62"/>
      <c r="D50" s="62"/>
      <c r="E50" s="62"/>
      <c r="F50" s="62"/>
      <c r="G50" s="62"/>
      <c r="H50" s="62"/>
      <c r="I50" s="187"/>
      <c r="J50" s="175"/>
      <c r="K50" s="175"/>
      <c r="L50" s="175"/>
      <c r="N50" s="62"/>
      <c r="O50" s="62"/>
      <c r="P50" s="62"/>
      <c r="Q50" s="62"/>
      <c r="R50" s="62"/>
      <c r="S50" s="62"/>
      <c r="T50" s="62"/>
      <c r="U50" s="62"/>
    </row>
    <row r="51" spans="1:21">
      <c r="I51" s="187"/>
      <c r="J51" s="190"/>
      <c r="K51" s="137"/>
      <c r="L51" s="190"/>
      <c r="N51" s="62"/>
      <c r="O51" s="62"/>
      <c r="P51" s="62"/>
      <c r="Q51" s="62"/>
      <c r="R51" s="62"/>
      <c r="S51" s="62"/>
      <c r="T51" s="62"/>
      <c r="U51" s="62"/>
    </row>
    <row r="52" spans="1:21">
      <c r="A52" s="62"/>
      <c r="B52" s="62"/>
      <c r="C52" s="62"/>
      <c r="D52" s="62"/>
      <c r="E52" s="62"/>
      <c r="F52" s="62"/>
      <c r="G52" s="62"/>
      <c r="H52" s="62"/>
      <c r="I52" s="187"/>
      <c r="J52" s="175"/>
      <c r="K52" s="175"/>
      <c r="L52" s="175"/>
      <c r="P52" s="62"/>
      <c r="Q52" s="62"/>
      <c r="R52" s="62"/>
      <c r="S52" s="62"/>
      <c r="T52" s="62"/>
      <c r="U52" s="62"/>
    </row>
    <row r="54" spans="1:21" s="153" customFormat="1">
      <c r="A54" s="62"/>
      <c r="B54" s="62"/>
      <c r="C54" s="62"/>
      <c r="D54" s="62"/>
      <c r="E54" s="62"/>
      <c r="F54" s="62"/>
      <c r="G54" s="62"/>
      <c r="H54" s="62"/>
      <c r="I54" s="222"/>
      <c r="J54" s="223"/>
      <c r="K54" s="223"/>
      <c r="L54" s="223"/>
    </row>
    <row r="56" spans="1:21">
      <c r="A56" s="62"/>
      <c r="B56" s="62"/>
      <c r="C56" s="62"/>
      <c r="D56" s="62"/>
      <c r="E56" s="62"/>
      <c r="F56" s="62"/>
      <c r="G56" s="62"/>
      <c r="H56" s="62"/>
    </row>
    <row r="58" spans="1:21">
      <c r="A58" s="62"/>
      <c r="B58" s="62"/>
      <c r="C58" s="62"/>
      <c r="D58" s="62"/>
      <c r="E58" s="62"/>
      <c r="F58" s="62"/>
      <c r="G58" s="62"/>
      <c r="H58" s="62"/>
    </row>
    <row r="60" spans="1:21">
      <c r="A60" s="62"/>
      <c r="B60" s="62"/>
      <c r="C60" s="62"/>
      <c r="D60" s="62"/>
      <c r="E60" s="62"/>
      <c r="F60" s="62"/>
      <c r="G60" s="62"/>
      <c r="H60" s="62"/>
    </row>
    <row r="62" spans="1:21">
      <c r="A62" s="62"/>
      <c r="B62" s="62"/>
      <c r="C62" s="62"/>
      <c r="D62" s="62"/>
      <c r="E62" s="62"/>
      <c r="F62" s="62"/>
      <c r="G62" s="62"/>
      <c r="H62" s="62"/>
    </row>
    <row r="64" spans="1:21">
      <c r="A64" s="62"/>
      <c r="B64" s="62"/>
      <c r="C64" s="62"/>
      <c r="D64" s="62"/>
      <c r="E64" s="62"/>
      <c r="F64" s="62"/>
      <c r="G64" s="62"/>
      <c r="H64" s="62"/>
    </row>
    <row r="66" spans="1:8">
      <c r="A66" s="62"/>
      <c r="B66" s="62"/>
      <c r="C66" s="62"/>
      <c r="D66" s="62"/>
      <c r="E66" s="62"/>
      <c r="F66" s="62"/>
      <c r="G66" s="62"/>
      <c r="H66" s="62"/>
    </row>
    <row r="68" spans="1:8">
      <c r="A68" s="62"/>
      <c r="B68" s="62"/>
      <c r="C68" s="62"/>
      <c r="D68" s="62"/>
      <c r="E68" s="62"/>
      <c r="F68" s="62"/>
      <c r="G68" s="62"/>
      <c r="H68" s="62"/>
    </row>
    <row r="70" spans="1:8">
      <c r="A70" s="62"/>
      <c r="B70" s="62"/>
      <c r="C70" s="62"/>
      <c r="D70" s="62"/>
      <c r="E70" s="62"/>
      <c r="F70" s="62"/>
      <c r="G70" s="62"/>
      <c r="H70" s="62"/>
    </row>
    <row r="72" spans="1:8">
      <c r="A72" s="62"/>
      <c r="B72" s="62"/>
      <c r="C72" s="62"/>
      <c r="D72" s="62"/>
      <c r="E72" s="62"/>
      <c r="F72" s="62"/>
      <c r="G72" s="62"/>
      <c r="H72" s="62"/>
    </row>
    <row r="74" spans="1:8">
      <c r="A74" s="62"/>
      <c r="B74" s="62"/>
      <c r="C74" s="62"/>
      <c r="D74" s="62"/>
      <c r="E74" s="62"/>
      <c r="F74" s="62"/>
      <c r="G74" s="62"/>
      <c r="H74" s="62"/>
    </row>
    <row r="76" spans="1:8">
      <c r="A76" s="62"/>
      <c r="B76" s="62"/>
      <c r="C76" s="62"/>
      <c r="D76" s="62"/>
      <c r="E76" s="62"/>
      <c r="F76" s="62"/>
      <c r="G76" s="62"/>
      <c r="H76" s="62"/>
    </row>
    <row r="78" spans="1:8">
      <c r="A78" s="62"/>
      <c r="B78" s="62"/>
      <c r="C78" s="62"/>
      <c r="D78" s="62"/>
      <c r="E78" s="62"/>
      <c r="F78" s="62"/>
      <c r="G78" s="62"/>
      <c r="H78" s="62"/>
    </row>
    <row r="80" spans="1:8">
      <c r="A80" s="62"/>
      <c r="B80" s="62"/>
      <c r="C80" s="62"/>
      <c r="D80" s="62"/>
      <c r="E80" s="62"/>
      <c r="F80" s="62"/>
      <c r="G80" s="62"/>
      <c r="H80" s="62"/>
    </row>
    <row r="82" spans="1:8">
      <c r="A82" s="62"/>
      <c r="B82" s="62"/>
      <c r="C82" s="62"/>
      <c r="D82" s="62"/>
      <c r="E82" s="62"/>
      <c r="F82" s="62"/>
      <c r="G82" s="62"/>
      <c r="H82" s="62"/>
    </row>
    <row r="84" spans="1:8">
      <c r="A84" s="62"/>
      <c r="B84" s="62"/>
      <c r="C84" s="62"/>
      <c r="D84" s="62"/>
      <c r="E84" s="62"/>
      <c r="F84" s="62"/>
      <c r="G84" s="62"/>
      <c r="H84" s="62"/>
    </row>
    <row r="86" spans="1:8">
      <c r="A86" s="62"/>
      <c r="B86" s="62"/>
      <c r="C86" s="62"/>
      <c r="D86" s="62"/>
      <c r="E86" s="62"/>
      <c r="F86" s="62"/>
      <c r="G86" s="62"/>
      <c r="H86" s="62"/>
    </row>
  </sheetData>
  <mergeCells count="3">
    <mergeCell ref="E7:F7"/>
    <mergeCell ref="G7:H7"/>
    <mergeCell ref="I7:J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H133"/>
  <sheetViews>
    <sheetView topLeftCell="A36" workbookViewId="0">
      <selection activeCell="J57" sqref="J57"/>
    </sheetView>
  </sheetViews>
  <sheetFormatPr defaultRowHeight="8.25"/>
  <cols>
    <col min="1" max="1" width="8.42578125" style="62" customWidth="1"/>
    <col min="2" max="2" width="9.42578125" style="62" customWidth="1"/>
    <col min="3" max="3" width="6.140625" style="62" customWidth="1"/>
    <col min="4" max="4" width="9.42578125" style="62" customWidth="1"/>
    <col min="5" max="5" width="8.7109375" style="62" customWidth="1"/>
    <col min="6" max="6" width="12.28515625" style="62" customWidth="1"/>
    <col min="7" max="7" width="5.28515625" style="62" customWidth="1"/>
    <col min="8" max="8" width="10" style="62" customWidth="1"/>
    <col min="9" max="9" width="5.7109375" style="62" customWidth="1"/>
    <col min="10" max="10" width="11.140625" style="62" customWidth="1"/>
    <col min="11" max="11" width="8.28515625" style="62" customWidth="1"/>
    <col min="12" max="12" width="12.5703125" style="62" customWidth="1"/>
    <col min="13" max="13" width="9.140625" style="62" customWidth="1"/>
    <col min="14" max="14" width="11.7109375" style="62" bestFit="1" customWidth="1"/>
    <col min="15" max="15" width="10.7109375" style="62" customWidth="1"/>
    <col min="16" max="16" width="4.140625" style="62" customWidth="1"/>
    <col min="17" max="17" width="3.28515625" style="62" bestFit="1" customWidth="1"/>
    <col min="18" max="18" width="7" style="62" customWidth="1"/>
    <col min="19" max="19" width="10" style="62" bestFit="1" customWidth="1"/>
    <col min="20" max="21" width="9.42578125" style="62" customWidth="1"/>
    <col min="22" max="22" width="9.5703125" style="62" customWidth="1"/>
    <col min="23" max="23" width="9.28515625" style="62" customWidth="1"/>
    <col min="24" max="26" width="9.42578125" style="62" customWidth="1"/>
    <col min="27" max="27" width="8.7109375" style="62" customWidth="1"/>
    <col min="28" max="28" width="9.28515625" style="62" customWidth="1"/>
    <col min="29" max="30" width="9.140625" style="62" customWidth="1"/>
    <col min="31" max="31" width="10.42578125" style="62" customWidth="1"/>
    <col min="32" max="32" width="5.28515625" style="62" bestFit="1" customWidth="1"/>
    <col min="33" max="33" width="9.7109375" style="62" bestFit="1" customWidth="1"/>
    <col min="34" max="34" width="11" style="62" bestFit="1" customWidth="1"/>
    <col min="35" max="35" width="10.85546875" style="62" bestFit="1" customWidth="1"/>
    <col min="36" max="36" width="9.140625" style="62"/>
    <col min="37" max="37" width="3.85546875" style="62" bestFit="1" customWidth="1"/>
    <col min="38" max="38" width="7.28515625" style="62" bestFit="1" customWidth="1"/>
    <col min="39" max="41" width="9.140625" style="62"/>
    <col min="42" max="42" width="9.28515625" style="62" customWidth="1"/>
    <col min="43" max="43" width="9.28515625" style="62" bestFit="1" customWidth="1"/>
    <col min="44" max="256" width="9.140625" style="62"/>
    <col min="257" max="257" width="7.85546875" style="62" customWidth="1"/>
    <col min="258" max="258" width="12.140625" style="62" customWidth="1"/>
    <col min="259" max="259" width="6.28515625" style="62" customWidth="1"/>
    <col min="260" max="260" width="11.5703125" style="62" customWidth="1"/>
    <col min="261" max="261" width="7.85546875" style="62" customWidth="1"/>
    <col min="262" max="262" width="12.28515625" style="62" customWidth="1"/>
    <col min="263" max="263" width="5.28515625" style="62" customWidth="1"/>
    <col min="264" max="264" width="12.140625" style="62" bestFit="1" customWidth="1"/>
    <col min="265" max="265" width="5.7109375" style="62" customWidth="1"/>
    <col min="266" max="266" width="11.85546875" style="62" bestFit="1" customWidth="1"/>
    <col min="267" max="267" width="8" style="62" customWidth="1"/>
    <col min="268" max="268" width="12.5703125" style="62" customWidth="1"/>
    <col min="269" max="269" width="9" style="62" customWidth="1"/>
    <col min="270" max="270" width="11.7109375" style="62" bestFit="1" customWidth="1"/>
    <col min="271" max="271" width="9.42578125" style="62" customWidth="1"/>
    <col min="272" max="272" width="4.140625" style="62" customWidth="1"/>
    <col min="273" max="273" width="3.28515625" style="62" bestFit="1" customWidth="1"/>
    <col min="274" max="274" width="8.85546875" style="62" customWidth="1"/>
    <col min="275" max="275" width="10" style="62" bestFit="1" customWidth="1"/>
    <col min="276" max="277" width="9.42578125" style="62" customWidth="1"/>
    <col min="278" max="278" width="9.5703125" style="62" customWidth="1"/>
    <col min="279" max="279" width="9.85546875" style="62" customWidth="1"/>
    <col min="280" max="281" width="9.42578125" style="62" customWidth="1"/>
    <col min="282" max="282" width="9.85546875" style="62" customWidth="1"/>
    <col min="283" max="284" width="9.28515625" style="62" customWidth="1"/>
    <col min="285" max="285" width="9.85546875" style="62" customWidth="1"/>
    <col min="286" max="286" width="9.28515625" style="62" customWidth="1"/>
    <col min="287" max="287" width="10.42578125" style="62" customWidth="1"/>
    <col min="288" max="288" width="5.28515625" style="62" bestFit="1" customWidth="1"/>
    <col min="289" max="289" width="9.7109375" style="62" bestFit="1" customWidth="1"/>
    <col min="290" max="290" width="11" style="62" bestFit="1" customWidth="1"/>
    <col min="291" max="291" width="10.85546875" style="62" bestFit="1" customWidth="1"/>
    <col min="292" max="292" width="9.140625" style="62"/>
    <col min="293" max="293" width="3.85546875" style="62" bestFit="1" customWidth="1"/>
    <col min="294" max="294" width="7.28515625" style="62" bestFit="1" customWidth="1"/>
    <col min="295" max="297" width="9.140625" style="62"/>
    <col min="298" max="298" width="9.28515625" style="62" customWidth="1"/>
    <col min="299" max="299" width="9.28515625" style="62" bestFit="1" customWidth="1"/>
    <col min="300" max="512" width="9.140625" style="62"/>
    <col min="513" max="513" width="7.85546875" style="62" customWidth="1"/>
    <col min="514" max="514" width="12.140625" style="62" customWidth="1"/>
    <col min="515" max="515" width="6.28515625" style="62" customWidth="1"/>
    <col min="516" max="516" width="11.5703125" style="62" customWidth="1"/>
    <col min="517" max="517" width="7.85546875" style="62" customWidth="1"/>
    <col min="518" max="518" width="12.28515625" style="62" customWidth="1"/>
    <col min="519" max="519" width="5.28515625" style="62" customWidth="1"/>
    <col min="520" max="520" width="12.140625" style="62" bestFit="1" customWidth="1"/>
    <col min="521" max="521" width="5.7109375" style="62" customWidth="1"/>
    <col min="522" max="522" width="11.85546875" style="62" bestFit="1" customWidth="1"/>
    <col min="523" max="523" width="8" style="62" customWidth="1"/>
    <col min="524" max="524" width="12.5703125" style="62" customWidth="1"/>
    <col min="525" max="525" width="9" style="62" customWidth="1"/>
    <col min="526" max="526" width="11.7109375" style="62" bestFit="1" customWidth="1"/>
    <col min="527" max="527" width="9.42578125" style="62" customWidth="1"/>
    <col min="528" max="528" width="4.140625" style="62" customWidth="1"/>
    <col min="529" max="529" width="3.28515625" style="62" bestFit="1" customWidth="1"/>
    <col min="530" max="530" width="8.85546875" style="62" customWidth="1"/>
    <col min="531" max="531" width="10" style="62" bestFit="1" customWidth="1"/>
    <col min="532" max="533" width="9.42578125" style="62" customWidth="1"/>
    <col min="534" max="534" width="9.5703125" style="62" customWidth="1"/>
    <col min="535" max="535" width="9.85546875" style="62" customWidth="1"/>
    <col min="536" max="537" width="9.42578125" style="62" customWidth="1"/>
    <col min="538" max="538" width="9.85546875" style="62" customWidth="1"/>
    <col min="539" max="540" width="9.28515625" style="62" customWidth="1"/>
    <col min="541" max="541" width="9.85546875" style="62" customWidth="1"/>
    <col min="542" max="542" width="9.28515625" style="62" customWidth="1"/>
    <col min="543" max="543" width="10.42578125" style="62" customWidth="1"/>
    <col min="544" max="544" width="5.28515625" style="62" bestFit="1" customWidth="1"/>
    <col min="545" max="545" width="9.7109375" style="62" bestFit="1" customWidth="1"/>
    <col min="546" max="546" width="11" style="62" bestFit="1" customWidth="1"/>
    <col min="547" max="547" width="10.85546875" style="62" bestFit="1" customWidth="1"/>
    <col min="548" max="548" width="9.140625" style="62"/>
    <col min="549" max="549" width="3.85546875" style="62" bestFit="1" customWidth="1"/>
    <col min="550" max="550" width="7.28515625" style="62" bestFit="1" customWidth="1"/>
    <col min="551" max="553" width="9.140625" style="62"/>
    <col min="554" max="554" width="9.28515625" style="62" customWidth="1"/>
    <col min="555" max="555" width="9.28515625" style="62" bestFit="1" customWidth="1"/>
    <col min="556" max="768" width="9.140625" style="62"/>
    <col min="769" max="769" width="7.85546875" style="62" customWidth="1"/>
    <col min="770" max="770" width="12.140625" style="62" customWidth="1"/>
    <col min="771" max="771" width="6.28515625" style="62" customWidth="1"/>
    <col min="772" max="772" width="11.5703125" style="62" customWidth="1"/>
    <col min="773" max="773" width="7.85546875" style="62" customWidth="1"/>
    <col min="774" max="774" width="12.28515625" style="62" customWidth="1"/>
    <col min="775" max="775" width="5.28515625" style="62" customWidth="1"/>
    <col min="776" max="776" width="12.140625" style="62" bestFit="1" customWidth="1"/>
    <col min="777" max="777" width="5.7109375" style="62" customWidth="1"/>
    <col min="778" max="778" width="11.85546875" style="62" bestFit="1" customWidth="1"/>
    <col min="779" max="779" width="8" style="62" customWidth="1"/>
    <col min="780" max="780" width="12.5703125" style="62" customWidth="1"/>
    <col min="781" max="781" width="9" style="62" customWidth="1"/>
    <col min="782" max="782" width="11.7109375" style="62" bestFit="1" customWidth="1"/>
    <col min="783" max="783" width="9.42578125" style="62" customWidth="1"/>
    <col min="784" max="784" width="4.140625" style="62" customWidth="1"/>
    <col min="785" max="785" width="3.28515625" style="62" bestFit="1" customWidth="1"/>
    <col min="786" max="786" width="8.85546875" style="62" customWidth="1"/>
    <col min="787" max="787" width="10" style="62" bestFit="1" customWidth="1"/>
    <col min="788" max="789" width="9.42578125" style="62" customWidth="1"/>
    <col min="790" max="790" width="9.5703125" style="62" customWidth="1"/>
    <col min="791" max="791" width="9.85546875" style="62" customWidth="1"/>
    <col min="792" max="793" width="9.42578125" style="62" customWidth="1"/>
    <col min="794" max="794" width="9.85546875" style="62" customWidth="1"/>
    <col min="795" max="796" width="9.28515625" style="62" customWidth="1"/>
    <col min="797" max="797" width="9.85546875" style="62" customWidth="1"/>
    <col min="798" max="798" width="9.28515625" style="62" customWidth="1"/>
    <col min="799" max="799" width="10.42578125" style="62" customWidth="1"/>
    <col min="800" max="800" width="5.28515625" style="62" bestFit="1" customWidth="1"/>
    <col min="801" max="801" width="9.7109375" style="62" bestFit="1" customWidth="1"/>
    <col min="802" max="802" width="11" style="62" bestFit="1" customWidth="1"/>
    <col min="803" max="803" width="10.85546875" style="62" bestFit="1" customWidth="1"/>
    <col min="804" max="804" width="9.140625" style="62"/>
    <col min="805" max="805" width="3.85546875" style="62" bestFit="1" customWidth="1"/>
    <col min="806" max="806" width="7.28515625" style="62" bestFit="1" customWidth="1"/>
    <col min="807" max="809" width="9.140625" style="62"/>
    <col min="810" max="810" width="9.28515625" style="62" customWidth="1"/>
    <col min="811" max="811" width="9.28515625" style="62" bestFit="1" customWidth="1"/>
    <col min="812" max="1024" width="9.140625" style="62"/>
    <col min="1025" max="1025" width="7.85546875" style="62" customWidth="1"/>
    <col min="1026" max="1026" width="12.140625" style="62" customWidth="1"/>
    <col min="1027" max="1027" width="6.28515625" style="62" customWidth="1"/>
    <col min="1028" max="1028" width="11.5703125" style="62" customWidth="1"/>
    <col min="1029" max="1029" width="7.85546875" style="62" customWidth="1"/>
    <col min="1030" max="1030" width="12.28515625" style="62" customWidth="1"/>
    <col min="1031" max="1031" width="5.28515625" style="62" customWidth="1"/>
    <col min="1032" max="1032" width="12.140625" style="62" bestFit="1" customWidth="1"/>
    <col min="1033" max="1033" width="5.7109375" style="62" customWidth="1"/>
    <col min="1034" max="1034" width="11.85546875" style="62" bestFit="1" customWidth="1"/>
    <col min="1035" max="1035" width="8" style="62" customWidth="1"/>
    <col min="1036" max="1036" width="12.5703125" style="62" customWidth="1"/>
    <col min="1037" max="1037" width="9" style="62" customWidth="1"/>
    <col min="1038" max="1038" width="11.7109375" style="62" bestFit="1" customWidth="1"/>
    <col min="1039" max="1039" width="9.42578125" style="62" customWidth="1"/>
    <col min="1040" max="1040" width="4.140625" style="62" customWidth="1"/>
    <col min="1041" max="1041" width="3.28515625" style="62" bestFit="1" customWidth="1"/>
    <col min="1042" max="1042" width="8.85546875" style="62" customWidth="1"/>
    <col min="1043" max="1043" width="10" style="62" bestFit="1" customWidth="1"/>
    <col min="1044" max="1045" width="9.42578125" style="62" customWidth="1"/>
    <col min="1046" max="1046" width="9.5703125" style="62" customWidth="1"/>
    <col min="1047" max="1047" width="9.85546875" style="62" customWidth="1"/>
    <col min="1048" max="1049" width="9.42578125" style="62" customWidth="1"/>
    <col min="1050" max="1050" width="9.85546875" style="62" customWidth="1"/>
    <col min="1051" max="1052" width="9.28515625" style="62" customWidth="1"/>
    <col min="1053" max="1053" width="9.85546875" style="62" customWidth="1"/>
    <col min="1054" max="1054" width="9.28515625" style="62" customWidth="1"/>
    <col min="1055" max="1055" width="10.42578125" style="62" customWidth="1"/>
    <col min="1056" max="1056" width="5.28515625" style="62" bestFit="1" customWidth="1"/>
    <col min="1057" max="1057" width="9.7109375" style="62" bestFit="1" customWidth="1"/>
    <col min="1058" max="1058" width="11" style="62" bestFit="1" customWidth="1"/>
    <col min="1059" max="1059" width="10.85546875" style="62" bestFit="1" customWidth="1"/>
    <col min="1060" max="1060" width="9.140625" style="62"/>
    <col min="1061" max="1061" width="3.85546875" style="62" bestFit="1" customWidth="1"/>
    <col min="1062" max="1062" width="7.28515625" style="62" bestFit="1" customWidth="1"/>
    <col min="1063" max="1065" width="9.140625" style="62"/>
    <col min="1066" max="1066" width="9.28515625" style="62" customWidth="1"/>
    <col min="1067" max="1067" width="9.28515625" style="62" bestFit="1" customWidth="1"/>
    <col min="1068" max="1280" width="9.140625" style="62"/>
    <col min="1281" max="1281" width="7.85546875" style="62" customWidth="1"/>
    <col min="1282" max="1282" width="12.140625" style="62" customWidth="1"/>
    <col min="1283" max="1283" width="6.28515625" style="62" customWidth="1"/>
    <col min="1284" max="1284" width="11.5703125" style="62" customWidth="1"/>
    <col min="1285" max="1285" width="7.85546875" style="62" customWidth="1"/>
    <col min="1286" max="1286" width="12.28515625" style="62" customWidth="1"/>
    <col min="1287" max="1287" width="5.28515625" style="62" customWidth="1"/>
    <col min="1288" max="1288" width="12.140625" style="62" bestFit="1" customWidth="1"/>
    <col min="1289" max="1289" width="5.7109375" style="62" customWidth="1"/>
    <col min="1290" max="1290" width="11.85546875" style="62" bestFit="1" customWidth="1"/>
    <col min="1291" max="1291" width="8" style="62" customWidth="1"/>
    <col min="1292" max="1292" width="12.5703125" style="62" customWidth="1"/>
    <col min="1293" max="1293" width="9" style="62" customWidth="1"/>
    <col min="1294" max="1294" width="11.7109375" style="62" bestFit="1" customWidth="1"/>
    <col min="1295" max="1295" width="9.42578125" style="62" customWidth="1"/>
    <col min="1296" max="1296" width="4.140625" style="62" customWidth="1"/>
    <col min="1297" max="1297" width="3.28515625" style="62" bestFit="1" customWidth="1"/>
    <col min="1298" max="1298" width="8.85546875" style="62" customWidth="1"/>
    <col min="1299" max="1299" width="10" style="62" bestFit="1" customWidth="1"/>
    <col min="1300" max="1301" width="9.42578125" style="62" customWidth="1"/>
    <col min="1302" max="1302" width="9.5703125" style="62" customWidth="1"/>
    <col min="1303" max="1303" width="9.85546875" style="62" customWidth="1"/>
    <col min="1304" max="1305" width="9.42578125" style="62" customWidth="1"/>
    <col min="1306" max="1306" width="9.85546875" style="62" customWidth="1"/>
    <col min="1307" max="1308" width="9.28515625" style="62" customWidth="1"/>
    <col min="1309" max="1309" width="9.85546875" style="62" customWidth="1"/>
    <col min="1310" max="1310" width="9.28515625" style="62" customWidth="1"/>
    <col min="1311" max="1311" width="10.42578125" style="62" customWidth="1"/>
    <col min="1312" max="1312" width="5.28515625" style="62" bestFit="1" customWidth="1"/>
    <col min="1313" max="1313" width="9.7109375" style="62" bestFit="1" customWidth="1"/>
    <col min="1314" max="1314" width="11" style="62" bestFit="1" customWidth="1"/>
    <col min="1315" max="1315" width="10.85546875" style="62" bestFit="1" customWidth="1"/>
    <col min="1316" max="1316" width="9.140625" style="62"/>
    <col min="1317" max="1317" width="3.85546875" style="62" bestFit="1" customWidth="1"/>
    <col min="1318" max="1318" width="7.28515625" style="62" bestFit="1" customWidth="1"/>
    <col min="1319" max="1321" width="9.140625" style="62"/>
    <col min="1322" max="1322" width="9.28515625" style="62" customWidth="1"/>
    <col min="1323" max="1323" width="9.28515625" style="62" bestFit="1" customWidth="1"/>
    <col min="1324" max="1536" width="9.140625" style="62"/>
    <col min="1537" max="1537" width="7.85546875" style="62" customWidth="1"/>
    <col min="1538" max="1538" width="12.140625" style="62" customWidth="1"/>
    <col min="1539" max="1539" width="6.28515625" style="62" customWidth="1"/>
    <col min="1540" max="1540" width="11.5703125" style="62" customWidth="1"/>
    <col min="1541" max="1541" width="7.85546875" style="62" customWidth="1"/>
    <col min="1542" max="1542" width="12.28515625" style="62" customWidth="1"/>
    <col min="1543" max="1543" width="5.28515625" style="62" customWidth="1"/>
    <col min="1544" max="1544" width="12.140625" style="62" bestFit="1" customWidth="1"/>
    <col min="1545" max="1545" width="5.7109375" style="62" customWidth="1"/>
    <col min="1546" max="1546" width="11.85546875" style="62" bestFit="1" customWidth="1"/>
    <col min="1547" max="1547" width="8" style="62" customWidth="1"/>
    <col min="1548" max="1548" width="12.5703125" style="62" customWidth="1"/>
    <col min="1549" max="1549" width="9" style="62" customWidth="1"/>
    <col min="1550" max="1550" width="11.7109375" style="62" bestFit="1" customWidth="1"/>
    <col min="1551" max="1551" width="9.42578125" style="62" customWidth="1"/>
    <col min="1552" max="1552" width="4.140625" style="62" customWidth="1"/>
    <col min="1553" max="1553" width="3.28515625" style="62" bestFit="1" customWidth="1"/>
    <col min="1554" max="1554" width="8.85546875" style="62" customWidth="1"/>
    <col min="1555" max="1555" width="10" style="62" bestFit="1" customWidth="1"/>
    <col min="1556" max="1557" width="9.42578125" style="62" customWidth="1"/>
    <col min="1558" max="1558" width="9.5703125" style="62" customWidth="1"/>
    <col min="1559" max="1559" width="9.85546875" style="62" customWidth="1"/>
    <col min="1560" max="1561" width="9.42578125" style="62" customWidth="1"/>
    <col min="1562" max="1562" width="9.85546875" style="62" customWidth="1"/>
    <col min="1563" max="1564" width="9.28515625" style="62" customWidth="1"/>
    <col min="1565" max="1565" width="9.85546875" style="62" customWidth="1"/>
    <col min="1566" max="1566" width="9.28515625" style="62" customWidth="1"/>
    <col min="1567" max="1567" width="10.42578125" style="62" customWidth="1"/>
    <col min="1568" max="1568" width="5.28515625" style="62" bestFit="1" customWidth="1"/>
    <col min="1569" max="1569" width="9.7109375" style="62" bestFit="1" customWidth="1"/>
    <col min="1570" max="1570" width="11" style="62" bestFit="1" customWidth="1"/>
    <col min="1571" max="1571" width="10.85546875" style="62" bestFit="1" customWidth="1"/>
    <col min="1572" max="1572" width="9.140625" style="62"/>
    <col min="1573" max="1573" width="3.85546875" style="62" bestFit="1" customWidth="1"/>
    <col min="1574" max="1574" width="7.28515625" style="62" bestFit="1" customWidth="1"/>
    <col min="1575" max="1577" width="9.140625" style="62"/>
    <col min="1578" max="1578" width="9.28515625" style="62" customWidth="1"/>
    <col min="1579" max="1579" width="9.28515625" style="62" bestFit="1" customWidth="1"/>
    <col min="1580" max="1792" width="9.140625" style="62"/>
    <col min="1793" max="1793" width="7.85546875" style="62" customWidth="1"/>
    <col min="1794" max="1794" width="12.140625" style="62" customWidth="1"/>
    <col min="1795" max="1795" width="6.28515625" style="62" customWidth="1"/>
    <col min="1796" max="1796" width="11.5703125" style="62" customWidth="1"/>
    <col min="1797" max="1797" width="7.85546875" style="62" customWidth="1"/>
    <col min="1798" max="1798" width="12.28515625" style="62" customWidth="1"/>
    <col min="1799" max="1799" width="5.28515625" style="62" customWidth="1"/>
    <col min="1800" max="1800" width="12.140625" style="62" bestFit="1" customWidth="1"/>
    <col min="1801" max="1801" width="5.7109375" style="62" customWidth="1"/>
    <col min="1802" max="1802" width="11.85546875" style="62" bestFit="1" customWidth="1"/>
    <col min="1803" max="1803" width="8" style="62" customWidth="1"/>
    <col min="1804" max="1804" width="12.5703125" style="62" customWidth="1"/>
    <col min="1805" max="1805" width="9" style="62" customWidth="1"/>
    <col min="1806" max="1806" width="11.7109375" style="62" bestFit="1" customWidth="1"/>
    <col min="1807" max="1807" width="9.42578125" style="62" customWidth="1"/>
    <col min="1808" max="1808" width="4.140625" style="62" customWidth="1"/>
    <col min="1809" max="1809" width="3.28515625" style="62" bestFit="1" customWidth="1"/>
    <col min="1810" max="1810" width="8.85546875" style="62" customWidth="1"/>
    <col min="1811" max="1811" width="10" style="62" bestFit="1" customWidth="1"/>
    <col min="1812" max="1813" width="9.42578125" style="62" customWidth="1"/>
    <col min="1814" max="1814" width="9.5703125" style="62" customWidth="1"/>
    <col min="1815" max="1815" width="9.85546875" style="62" customWidth="1"/>
    <col min="1816" max="1817" width="9.42578125" style="62" customWidth="1"/>
    <col min="1818" max="1818" width="9.85546875" style="62" customWidth="1"/>
    <col min="1819" max="1820" width="9.28515625" style="62" customWidth="1"/>
    <col min="1821" max="1821" width="9.85546875" style="62" customWidth="1"/>
    <col min="1822" max="1822" width="9.28515625" style="62" customWidth="1"/>
    <col min="1823" max="1823" width="10.42578125" style="62" customWidth="1"/>
    <col min="1824" max="1824" width="5.28515625" style="62" bestFit="1" customWidth="1"/>
    <col min="1825" max="1825" width="9.7109375" style="62" bestFit="1" customWidth="1"/>
    <col min="1826" max="1826" width="11" style="62" bestFit="1" customWidth="1"/>
    <col min="1827" max="1827" width="10.85546875" style="62" bestFit="1" customWidth="1"/>
    <col min="1828" max="1828" width="9.140625" style="62"/>
    <col min="1829" max="1829" width="3.85546875" style="62" bestFit="1" customWidth="1"/>
    <col min="1830" max="1830" width="7.28515625" style="62" bestFit="1" customWidth="1"/>
    <col min="1831" max="1833" width="9.140625" style="62"/>
    <col min="1834" max="1834" width="9.28515625" style="62" customWidth="1"/>
    <col min="1835" max="1835" width="9.28515625" style="62" bestFit="1" customWidth="1"/>
    <col min="1836" max="2048" width="9.140625" style="62"/>
    <col min="2049" max="2049" width="7.85546875" style="62" customWidth="1"/>
    <col min="2050" max="2050" width="12.140625" style="62" customWidth="1"/>
    <col min="2051" max="2051" width="6.28515625" style="62" customWidth="1"/>
    <col min="2052" max="2052" width="11.5703125" style="62" customWidth="1"/>
    <col min="2053" max="2053" width="7.85546875" style="62" customWidth="1"/>
    <col min="2054" max="2054" width="12.28515625" style="62" customWidth="1"/>
    <col min="2055" max="2055" width="5.28515625" style="62" customWidth="1"/>
    <col min="2056" max="2056" width="12.140625" style="62" bestFit="1" customWidth="1"/>
    <col min="2057" max="2057" width="5.7109375" style="62" customWidth="1"/>
    <col min="2058" max="2058" width="11.85546875" style="62" bestFit="1" customWidth="1"/>
    <col min="2059" max="2059" width="8" style="62" customWidth="1"/>
    <col min="2060" max="2060" width="12.5703125" style="62" customWidth="1"/>
    <col min="2061" max="2061" width="9" style="62" customWidth="1"/>
    <col min="2062" max="2062" width="11.7109375" style="62" bestFit="1" customWidth="1"/>
    <col min="2063" max="2063" width="9.42578125" style="62" customWidth="1"/>
    <col min="2064" max="2064" width="4.140625" style="62" customWidth="1"/>
    <col min="2065" max="2065" width="3.28515625" style="62" bestFit="1" customWidth="1"/>
    <col min="2066" max="2066" width="8.85546875" style="62" customWidth="1"/>
    <col min="2067" max="2067" width="10" style="62" bestFit="1" customWidth="1"/>
    <col min="2068" max="2069" width="9.42578125" style="62" customWidth="1"/>
    <col min="2070" max="2070" width="9.5703125" style="62" customWidth="1"/>
    <col min="2071" max="2071" width="9.85546875" style="62" customWidth="1"/>
    <col min="2072" max="2073" width="9.42578125" style="62" customWidth="1"/>
    <col min="2074" max="2074" width="9.85546875" style="62" customWidth="1"/>
    <col min="2075" max="2076" width="9.28515625" style="62" customWidth="1"/>
    <col min="2077" max="2077" width="9.85546875" style="62" customWidth="1"/>
    <col min="2078" max="2078" width="9.28515625" style="62" customWidth="1"/>
    <col min="2079" max="2079" width="10.42578125" style="62" customWidth="1"/>
    <col min="2080" max="2080" width="5.28515625" style="62" bestFit="1" customWidth="1"/>
    <col min="2081" max="2081" width="9.7109375" style="62" bestFit="1" customWidth="1"/>
    <col min="2082" max="2082" width="11" style="62" bestFit="1" customWidth="1"/>
    <col min="2083" max="2083" width="10.85546875" style="62" bestFit="1" customWidth="1"/>
    <col min="2084" max="2084" width="9.140625" style="62"/>
    <col min="2085" max="2085" width="3.85546875" style="62" bestFit="1" customWidth="1"/>
    <col min="2086" max="2086" width="7.28515625" style="62" bestFit="1" customWidth="1"/>
    <col min="2087" max="2089" width="9.140625" style="62"/>
    <col min="2090" max="2090" width="9.28515625" style="62" customWidth="1"/>
    <col min="2091" max="2091" width="9.28515625" style="62" bestFit="1" customWidth="1"/>
    <col min="2092" max="2304" width="9.140625" style="62"/>
    <col min="2305" max="2305" width="7.85546875" style="62" customWidth="1"/>
    <col min="2306" max="2306" width="12.140625" style="62" customWidth="1"/>
    <col min="2307" max="2307" width="6.28515625" style="62" customWidth="1"/>
    <col min="2308" max="2308" width="11.5703125" style="62" customWidth="1"/>
    <col min="2309" max="2309" width="7.85546875" style="62" customWidth="1"/>
    <col min="2310" max="2310" width="12.28515625" style="62" customWidth="1"/>
    <col min="2311" max="2311" width="5.28515625" style="62" customWidth="1"/>
    <col min="2312" max="2312" width="12.140625" style="62" bestFit="1" customWidth="1"/>
    <col min="2313" max="2313" width="5.7109375" style="62" customWidth="1"/>
    <col min="2314" max="2314" width="11.85546875" style="62" bestFit="1" customWidth="1"/>
    <col min="2315" max="2315" width="8" style="62" customWidth="1"/>
    <col min="2316" max="2316" width="12.5703125" style="62" customWidth="1"/>
    <col min="2317" max="2317" width="9" style="62" customWidth="1"/>
    <col min="2318" max="2318" width="11.7109375" style="62" bestFit="1" customWidth="1"/>
    <col min="2319" max="2319" width="9.42578125" style="62" customWidth="1"/>
    <col min="2320" max="2320" width="4.140625" style="62" customWidth="1"/>
    <col min="2321" max="2321" width="3.28515625" style="62" bestFit="1" customWidth="1"/>
    <col min="2322" max="2322" width="8.85546875" style="62" customWidth="1"/>
    <col min="2323" max="2323" width="10" style="62" bestFit="1" customWidth="1"/>
    <col min="2324" max="2325" width="9.42578125" style="62" customWidth="1"/>
    <col min="2326" max="2326" width="9.5703125" style="62" customWidth="1"/>
    <col min="2327" max="2327" width="9.85546875" style="62" customWidth="1"/>
    <col min="2328" max="2329" width="9.42578125" style="62" customWidth="1"/>
    <col min="2330" max="2330" width="9.85546875" style="62" customWidth="1"/>
    <col min="2331" max="2332" width="9.28515625" style="62" customWidth="1"/>
    <col min="2333" max="2333" width="9.85546875" style="62" customWidth="1"/>
    <col min="2334" max="2334" width="9.28515625" style="62" customWidth="1"/>
    <col min="2335" max="2335" width="10.42578125" style="62" customWidth="1"/>
    <col min="2336" max="2336" width="5.28515625" style="62" bestFit="1" customWidth="1"/>
    <col min="2337" max="2337" width="9.7109375" style="62" bestFit="1" customWidth="1"/>
    <col min="2338" max="2338" width="11" style="62" bestFit="1" customWidth="1"/>
    <col min="2339" max="2339" width="10.85546875" style="62" bestFit="1" customWidth="1"/>
    <col min="2340" max="2340" width="9.140625" style="62"/>
    <col min="2341" max="2341" width="3.85546875" style="62" bestFit="1" customWidth="1"/>
    <col min="2342" max="2342" width="7.28515625" style="62" bestFit="1" customWidth="1"/>
    <col min="2343" max="2345" width="9.140625" style="62"/>
    <col min="2346" max="2346" width="9.28515625" style="62" customWidth="1"/>
    <col min="2347" max="2347" width="9.28515625" style="62" bestFit="1" customWidth="1"/>
    <col min="2348" max="2560" width="9.140625" style="62"/>
    <col min="2561" max="2561" width="7.85546875" style="62" customWidth="1"/>
    <col min="2562" max="2562" width="12.140625" style="62" customWidth="1"/>
    <col min="2563" max="2563" width="6.28515625" style="62" customWidth="1"/>
    <col min="2564" max="2564" width="11.5703125" style="62" customWidth="1"/>
    <col min="2565" max="2565" width="7.85546875" style="62" customWidth="1"/>
    <col min="2566" max="2566" width="12.28515625" style="62" customWidth="1"/>
    <col min="2567" max="2567" width="5.28515625" style="62" customWidth="1"/>
    <col min="2568" max="2568" width="12.140625" style="62" bestFit="1" customWidth="1"/>
    <col min="2569" max="2569" width="5.7109375" style="62" customWidth="1"/>
    <col min="2570" max="2570" width="11.85546875" style="62" bestFit="1" customWidth="1"/>
    <col min="2571" max="2571" width="8" style="62" customWidth="1"/>
    <col min="2572" max="2572" width="12.5703125" style="62" customWidth="1"/>
    <col min="2573" max="2573" width="9" style="62" customWidth="1"/>
    <col min="2574" max="2574" width="11.7109375" style="62" bestFit="1" customWidth="1"/>
    <col min="2575" max="2575" width="9.42578125" style="62" customWidth="1"/>
    <col min="2576" max="2576" width="4.140625" style="62" customWidth="1"/>
    <col min="2577" max="2577" width="3.28515625" style="62" bestFit="1" customWidth="1"/>
    <col min="2578" max="2578" width="8.85546875" style="62" customWidth="1"/>
    <col min="2579" max="2579" width="10" style="62" bestFit="1" customWidth="1"/>
    <col min="2580" max="2581" width="9.42578125" style="62" customWidth="1"/>
    <col min="2582" max="2582" width="9.5703125" style="62" customWidth="1"/>
    <col min="2583" max="2583" width="9.85546875" style="62" customWidth="1"/>
    <col min="2584" max="2585" width="9.42578125" style="62" customWidth="1"/>
    <col min="2586" max="2586" width="9.85546875" style="62" customWidth="1"/>
    <col min="2587" max="2588" width="9.28515625" style="62" customWidth="1"/>
    <col min="2589" max="2589" width="9.85546875" style="62" customWidth="1"/>
    <col min="2590" max="2590" width="9.28515625" style="62" customWidth="1"/>
    <col min="2591" max="2591" width="10.42578125" style="62" customWidth="1"/>
    <col min="2592" max="2592" width="5.28515625" style="62" bestFit="1" customWidth="1"/>
    <col min="2593" max="2593" width="9.7109375" style="62" bestFit="1" customWidth="1"/>
    <col min="2594" max="2594" width="11" style="62" bestFit="1" customWidth="1"/>
    <col min="2595" max="2595" width="10.85546875" style="62" bestFit="1" customWidth="1"/>
    <col min="2596" max="2596" width="9.140625" style="62"/>
    <col min="2597" max="2597" width="3.85546875" style="62" bestFit="1" customWidth="1"/>
    <col min="2598" max="2598" width="7.28515625" style="62" bestFit="1" customWidth="1"/>
    <col min="2599" max="2601" width="9.140625" style="62"/>
    <col min="2602" max="2602" width="9.28515625" style="62" customWidth="1"/>
    <col min="2603" max="2603" width="9.28515625" style="62" bestFit="1" customWidth="1"/>
    <col min="2604" max="2816" width="9.140625" style="62"/>
    <col min="2817" max="2817" width="7.85546875" style="62" customWidth="1"/>
    <col min="2818" max="2818" width="12.140625" style="62" customWidth="1"/>
    <col min="2819" max="2819" width="6.28515625" style="62" customWidth="1"/>
    <col min="2820" max="2820" width="11.5703125" style="62" customWidth="1"/>
    <col min="2821" max="2821" width="7.85546875" style="62" customWidth="1"/>
    <col min="2822" max="2822" width="12.28515625" style="62" customWidth="1"/>
    <col min="2823" max="2823" width="5.28515625" style="62" customWidth="1"/>
    <col min="2824" max="2824" width="12.140625" style="62" bestFit="1" customWidth="1"/>
    <col min="2825" max="2825" width="5.7109375" style="62" customWidth="1"/>
    <col min="2826" max="2826" width="11.85546875" style="62" bestFit="1" customWidth="1"/>
    <col min="2827" max="2827" width="8" style="62" customWidth="1"/>
    <col min="2828" max="2828" width="12.5703125" style="62" customWidth="1"/>
    <col min="2829" max="2829" width="9" style="62" customWidth="1"/>
    <col min="2830" max="2830" width="11.7109375" style="62" bestFit="1" customWidth="1"/>
    <col min="2831" max="2831" width="9.42578125" style="62" customWidth="1"/>
    <col min="2832" max="2832" width="4.140625" style="62" customWidth="1"/>
    <col min="2833" max="2833" width="3.28515625" style="62" bestFit="1" customWidth="1"/>
    <col min="2834" max="2834" width="8.85546875" style="62" customWidth="1"/>
    <col min="2835" max="2835" width="10" style="62" bestFit="1" customWidth="1"/>
    <col min="2836" max="2837" width="9.42578125" style="62" customWidth="1"/>
    <col min="2838" max="2838" width="9.5703125" style="62" customWidth="1"/>
    <col min="2839" max="2839" width="9.85546875" style="62" customWidth="1"/>
    <col min="2840" max="2841" width="9.42578125" style="62" customWidth="1"/>
    <col min="2842" max="2842" width="9.85546875" style="62" customWidth="1"/>
    <col min="2843" max="2844" width="9.28515625" style="62" customWidth="1"/>
    <col min="2845" max="2845" width="9.85546875" style="62" customWidth="1"/>
    <col min="2846" max="2846" width="9.28515625" style="62" customWidth="1"/>
    <col min="2847" max="2847" width="10.42578125" style="62" customWidth="1"/>
    <col min="2848" max="2848" width="5.28515625" style="62" bestFit="1" customWidth="1"/>
    <col min="2849" max="2849" width="9.7109375" style="62" bestFit="1" customWidth="1"/>
    <col min="2850" max="2850" width="11" style="62" bestFit="1" customWidth="1"/>
    <col min="2851" max="2851" width="10.85546875" style="62" bestFit="1" customWidth="1"/>
    <col min="2852" max="2852" width="9.140625" style="62"/>
    <col min="2853" max="2853" width="3.85546875" style="62" bestFit="1" customWidth="1"/>
    <col min="2854" max="2854" width="7.28515625" style="62" bestFit="1" customWidth="1"/>
    <col min="2855" max="2857" width="9.140625" style="62"/>
    <col min="2858" max="2858" width="9.28515625" style="62" customWidth="1"/>
    <col min="2859" max="2859" width="9.28515625" style="62" bestFit="1" customWidth="1"/>
    <col min="2860" max="3072" width="9.140625" style="62"/>
    <col min="3073" max="3073" width="7.85546875" style="62" customWidth="1"/>
    <col min="3074" max="3074" width="12.140625" style="62" customWidth="1"/>
    <col min="3075" max="3075" width="6.28515625" style="62" customWidth="1"/>
    <col min="3076" max="3076" width="11.5703125" style="62" customWidth="1"/>
    <col min="3077" max="3077" width="7.85546875" style="62" customWidth="1"/>
    <col min="3078" max="3078" width="12.28515625" style="62" customWidth="1"/>
    <col min="3079" max="3079" width="5.28515625" style="62" customWidth="1"/>
    <col min="3080" max="3080" width="12.140625" style="62" bestFit="1" customWidth="1"/>
    <col min="3081" max="3081" width="5.7109375" style="62" customWidth="1"/>
    <col min="3082" max="3082" width="11.85546875" style="62" bestFit="1" customWidth="1"/>
    <col min="3083" max="3083" width="8" style="62" customWidth="1"/>
    <col min="3084" max="3084" width="12.5703125" style="62" customWidth="1"/>
    <col min="3085" max="3085" width="9" style="62" customWidth="1"/>
    <col min="3086" max="3086" width="11.7109375" style="62" bestFit="1" customWidth="1"/>
    <col min="3087" max="3087" width="9.42578125" style="62" customWidth="1"/>
    <col min="3088" max="3088" width="4.140625" style="62" customWidth="1"/>
    <col min="3089" max="3089" width="3.28515625" style="62" bestFit="1" customWidth="1"/>
    <col min="3090" max="3090" width="8.85546875" style="62" customWidth="1"/>
    <col min="3091" max="3091" width="10" style="62" bestFit="1" customWidth="1"/>
    <col min="3092" max="3093" width="9.42578125" style="62" customWidth="1"/>
    <col min="3094" max="3094" width="9.5703125" style="62" customWidth="1"/>
    <col min="3095" max="3095" width="9.85546875" style="62" customWidth="1"/>
    <col min="3096" max="3097" width="9.42578125" style="62" customWidth="1"/>
    <col min="3098" max="3098" width="9.85546875" style="62" customWidth="1"/>
    <col min="3099" max="3100" width="9.28515625" style="62" customWidth="1"/>
    <col min="3101" max="3101" width="9.85546875" style="62" customWidth="1"/>
    <col min="3102" max="3102" width="9.28515625" style="62" customWidth="1"/>
    <col min="3103" max="3103" width="10.42578125" style="62" customWidth="1"/>
    <col min="3104" max="3104" width="5.28515625" style="62" bestFit="1" customWidth="1"/>
    <col min="3105" max="3105" width="9.7109375" style="62" bestFit="1" customWidth="1"/>
    <col min="3106" max="3106" width="11" style="62" bestFit="1" customWidth="1"/>
    <col min="3107" max="3107" width="10.85546875" style="62" bestFit="1" customWidth="1"/>
    <col min="3108" max="3108" width="9.140625" style="62"/>
    <col min="3109" max="3109" width="3.85546875" style="62" bestFit="1" customWidth="1"/>
    <col min="3110" max="3110" width="7.28515625" style="62" bestFit="1" customWidth="1"/>
    <col min="3111" max="3113" width="9.140625" style="62"/>
    <col min="3114" max="3114" width="9.28515625" style="62" customWidth="1"/>
    <col min="3115" max="3115" width="9.28515625" style="62" bestFit="1" customWidth="1"/>
    <col min="3116" max="3328" width="9.140625" style="62"/>
    <col min="3329" max="3329" width="7.85546875" style="62" customWidth="1"/>
    <col min="3330" max="3330" width="12.140625" style="62" customWidth="1"/>
    <col min="3331" max="3331" width="6.28515625" style="62" customWidth="1"/>
    <col min="3332" max="3332" width="11.5703125" style="62" customWidth="1"/>
    <col min="3333" max="3333" width="7.85546875" style="62" customWidth="1"/>
    <col min="3334" max="3334" width="12.28515625" style="62" customWidth="1"/>
    <col min="3335" max="3335" width="5.28515625" style="62" customWidth="1"/>
    <col min="3336" max="3336" width="12.140625" style="62" bestFit="1" customWidth="1"/>
    <col min="3337" max="3337" width="5.7109375" style="62" customWidth="1"/>
    <col min="3338" max="3338" width="11.85546875" style="62" bestFit="1" customWidth="1"/>
    <col min="3339" max="3339" width="8" style="62" customWidth="1"/>
    <col min="3340" max="3340" width="12.5703125" style="62" customWidth="1"/>
    <col min="3341" max="3341" width="9" style="62" customWidth="1"/>
    <col min="3342" max="3342" width="11.7109375" style="62" bestFit="1" customWidth="1"/>
    <col min="3343" max="3343" width="9.42578125" style="62" customWidth="1"/>
    <col min="3344" max="3344" width="4.140625" style="62" customWidth="1"/>
    <col min="3345" max="3345" width="3.28515625" style="62" bestFit="1" customWidth="1"/>
    <col min="3346" max="3346" width="8.85546875" style="62" customWidth="1"/>
    <col min="3347" max="3347" width="10" style="62" bestFit="1" customWidth="1"/>
    <col min="3348" max="3349" width="9.42578125" style="62" customWidth="1"/>
    <col min="3350" max="3350" width="9.5703125" style="62" customWidth="1"/>
    <col min="3351" max="3351" width="9.85546875" style="62" customWidth="1"/>
    <col min="3352" max="3353" width="9.42578125" style="62" customWidth="1"/>
    <col min="3354" max="3354" width="9.85546875" style="62" customWidth="1"/>
    <col min="3355" max="3356" width="9.28515625" style="62" customWidth="1"/>
    <col min="3357" max="3357" width="9.85546875" style="62" customWidth="1"/>
    <col min="3358" max="3358" width="9.28515625" style="62" customWidth="1"/>
    <col min="3359" max="3359" width="10.42578125" style="62" customWidth="1"/>
    <col min="3360" max="3360" width="5.28515625" style="62" bestFit="1" customWidth="1"/>
    <col min="3361" max="3361" width="9.7109375" style="62" bestFit="1" customWidth="1"/>
    <col min="3362" max="3362" width="11" style="62" bestFit="1" customWidth="1"/>
    <col min="3363" max="3363" width="10.85546875" style="62" bestFit="1" customWidth="1"/>
    <col min="3364" max="3364" width="9.140625" style="62"/>
    <col min="3365" max="3365" width="3.85546875" style="62" bestFit="1" customWidth="1"/>
    <col min="3366" max="3366" width="7.28515625" style="62" bestFit="1" customWidth="1"/>
    <col min="3367" max="3369" width="9.140625" style="62"/>
    <col min="3370" max="3370" width="9.28515625" style="62" customWidth="1"/>
    <col min="3371" max="3371" width="9.28515625" style="62" bestFit="1" customWidth="1"/>
    <col min="3372" max="3584" width="9.140625" style="62"/>
    <col min="3585" max="3585" width="7.85546875" style="62" customWidth="1"/>
    <col min="3586" max="3586" width="12.140625" style="62" customWidth="1"/>
    <col min="3587" max="3587" width="6.28515625" style="62" customWidth="1"/>
    <col min="3588" max="3588" width="11.5703125" style="62" customWidth="1"/>
    <col min="3589" max="3589" width="7.85546875" style="62" customWidth="1"/>
    <col min="3590" max="3590" width="12.28515625" style="62" customWidth="1"/>
    <col min="3591" max="3591" width="5.28515625" style="62" customWidth="1"/>
    <col min="3592" max="3592" width="12.140625" style="62" bestFit="1" customWidth="1"/>
    <col min="3593" max="3593" width="5.7109375" style="62" customWidth="1"/>
    <col min="3594" max="3594" width="11.85546875" style="62" bestFit="1" customWidth="1"/>
    <col min="3595" max="3595" width="8" style="62" customWidth="1"/>
    <col min="3596" max="3596" width="12.5703125" style="62" customWidth="1"/>
    <col min="3597" max="3597" width="9" style="62" customWidth="1"/>
    <col min="3598" max="3598" width="11.7109375" style="62" bestFit="1" customWidth="1"/>
    <col min="3599" max="3599" width="9.42578125" style="62" customWidth="1"/>
    <col min="3600" max="3600" width="4.140625" style="62" customWidth="1"/>
    <col min="3601" max="3601" width="3.28515625" style="62" bestFit="1" customWidth="1"/>
    <col min="3602" max="3602" width="8.85546875" style="62" customWidth="1"/>
    <col min="3603" max="3603" width="10" style="62" bestFit="1" customWidth="1"/>
    <col min="3604" max="3605" width="9.42578125" style="62" customWidth="1"/>
    <col min="3606" max="3606" width="9.5703125" style="62" customWidth="1"/>
    <col min="3607" max="3607" width="9.85546875" style="62" customWidth="1"/>
    <col min="3608" max="3609" width="9.42578125" style="62" customWidth="1"/>
    <col min="3610" max="3610" width="9.85546875" style="62" customWidth="1"/>
    <col min="3611" max="3612" width="9.28515625" style="62" customWidth="1"/>
    <col min="3613" max="3613" width="9.85546875" style="62" customWidth="1"/>
    <col min="3614" max="3614" width="9.28515625" style="62" customWidth="1"/>
    <col min="3615" max="3615" width="10.42578125" style="62" customWidth="1"/>
    <col min="3616" max="3616" width="5.28515625" style="62" bestFit="1" customWidth="1"/>
    <col min="3617" max="3617" width="9.7109375" style="62" bestFit="1" customWidth="1"/>
    <col min="3618" max="3618" width="11" style="62" bestFit="1" customWidth="1"/>
    <col min="3619" max="3619" width="10.85546875" style="62" bestFit="1" customWidth="1"/>
    <col min="3620" max="3620" width="9.140625" style="62"/>
    <col min="3621" max="3621" width="3.85546875" style="62" bestFit="1" customWidth="1"/>
    <col min="3622" max="3622" width="7.28515625" style="62" bestFit="1" customWidth="1"/>
    <col min="3623" max="3625" width="9.140625" style="62"/>
    <col min="3626" max="3626" width="9.28515625" style="62" customWidth="1"/>
    <col min="3627" max="3627" width="9.28515625" style="62" bestFit="1" customWidth="1"/>
    <col min="3628" max="3840" width="9.140625" style="62"/>
    <col min="3841" max="3841" width="7.85546875" style="62" customWidth="1"/>
    <col min="3842" max="3842" width="12.140625" style="62" customWidth="1"/>
    <col min="3843" max="3843" width="6.28515625" style="62" customWidth="1"/>
    <col min="3844" max="3844" width="11.5703125" style="62" customWidth="1"/>
    <col min="3845" max="3845" width="7.85546875" style="62" customWidth="1"/>
    <col min="3846" max="3846" width="12.28515625" style="62" customWidth="1"/>
    <col min="3847" max="3847" width="5.28515625" style="62" customWidth="1"/>
    <col min="3848" max="3848" width="12.140625" style="62" bestFit="1" customWidth="1"/>
    <col min="3849" max="3849" width="5.7109375" style="62" customWidth="1"/>
    <col min="3850" max="3850" width="11.85546875" style="62" bestFit="1" customWidth="1"/>
    <col min="3851" max="3851" width="8" style="62" customWidth="1"/>
    <col min="3852" max="3852" width="12.5703125" style="62" customWidth="1"/>
    <col min="3853" max="3853" width="9" style="62" customWidth="1"/>
    <col min="3854" max="3854" width="11.7109375" style="62" bestFit="1" customWidth="1"/>
    <col min="3855" max="3855" width="9.42578125" style="62" customWidth="1"/>
    <col min="3856" max="3856" width="4.140625" style="62" customWidth="1"/>
    <col min="3857" max="3857" width="3.28515625" style="62" bestFit="1" customWidth="1"/>
    <col min="3858" max="3858" width="8.85546875" style="62" customWidth="1"/>
    <col min="3859" max="3859" width="10" style="62" bestFit="1" customWidth="1"/>
    <col min="3860" max="3861" width="9.42578125" style="62" customWidth="1"/>
    <col min="3862" max="3862" width="9.5703125" style="62" customWidth="1"/>
    <col min="3863" max="3863" width="9.85546875" style="62" customWidth="1"/>
    <col min="3864" max="3865" width="9.42578125" style="62" customWidth="1"/>
    <col min="3866" max="3866" width="9.85546875" style="62" customWidth="1"/>
    <col min="3867" max="3868" width="9.28515625" style="62" customWidth="1"/>
    <col min="3869" max="3869" width="9.85546875" style="62" customWidth="1"/>
    <col min="3870" max="3870" width="9.28515625" style="62" customWidth="1"/>
    <col min="3871" max="3871" width="10.42578125" style="62" customWidth="1"/>
    <col min="3872" max="3872" width="5.28515625" style="62" bestFit="1" customWidth="1"/>
    <col min="3873" max="3873" width="9.7109375" style="62" bestFit="1" customWidth="1"/>
    <col min="3874" max="3874" width="11" style="62" bestFit="1" customWidth="1"/>
    <col min="3875" max="3875" width="10.85546875" style="62" bestFit="1" customWidth="1"/>
    <col min="3876" max="3876" width="9.140625" style="62"/>
    <col min="3877" max="3877" width="3.85546875" style="62" bestFit="1" customWidth="1"/>
    <col min="3878" max="3878" width="7.28515625" style="62" bestFit="1" customWidth="1"/>
    <col min="3879" max="3881" width="9.140625" style="62"/>
    <col min="3882" max="3882" width="9.28515625" style="62" customWidth="1"/>
    <col min="3883" max="3883" width="9.28515625" style="62" bestFit="1" customWidth="1"/>
    <col min="3884" max="4096" width="9.140625" style="62"/>
    <col min="4097" max="4097" width="7.85546875" style="62" customWidth="1"/>
    <col min="4098" max="4098" width="12.140625" style="62" customWidth="1"/>
    <col min="4099" max="4099" width="6.28515625" style="62" customWidth="1"/>
    <col min="4100" max="4100" width="11.5703125" style="62" customWidth="1"/>
    <col min="4101" max="4101" width="7.85546875" style="62" customWidth="1"/>
    <col min="4102" max="4102" width="12.28515625" style="62" customWidth="1"/>
    <col min="4103" max="4103" width="5.28515625" style="62" customWidth="1"/>
    <col min="4104" max="4104" width="12.140625" style="62" bestFit="1" customWidth="1"/>
    <col min="4105" max="4105" width="5.7109375" style="62" customWidth="1"/>
    <col min="4106" max="4106" width="11.85546875" style="62" bestFit="1" customWidth="1"/>
    <col min="4107" max="4107" width="8" style="62" customWidth="1"/>
    <col min="4108" max="4108" width="12.5703125" style="62" customWidth="1"/>
    <col min="4109" max="4109" width="9" style="62" customWidth="1"/>
    <col min="4110" max="4110" width="11.7109375" style="62" bestFit="1" customWidth="1"/>
    <col min="4111" max="4111" width="9.42578125" style="62" customWidth="1"/>
    <col min="4112" max="4112" width="4.140625" style="62" customWidth="1"/>
    <col min="4113" max="4113" width="3.28515625" style="62" bestFit="1" customWidth="1"/>
    <col min="4114" max="4114" width="8.85546875" style="62" customWidth="1"/>
    <col min="4115" max="4115" width="10" style="62" bestFit="1" customWidth="1"/>
    <col min="4116" max="4117" width="9.42578125" style="62" customWidth="1"/>
    <col min="4118" max="4118" width="9.5703125" style="62" customWidth="1"/>
    <col min="4119" max="4119" width="9.85546875" style="62" customWidth="1"/>
    <col min="4120" max="4121" width="9.42578125" style="62" customWidth="1"/>
    <col min="4122" max="4122" width="9.85546875" style="62" customWidth="1"/>
    <col min="4123" max="4124" width="9.28515625" style="62" customWidth="1"/>
    <col min="4125" max="4125" width="9.85546875" style="62" customWidth="1"/>
    <col min="4126" max="4126" width="9.28515625" style="62" customWidth="1"/>
    <col min="4127" max="4127" width="10.42578125" style="62" customWidth="1"/>
    <col min="4128" max="4128" width="5.28515625" style="62" bestFit="1" customWidth="1"/>
    <col min="4129" max="4129" width="9.7109375" style="62" bestFit="1" customWidth="1"/>
    <col min="4130" max="4130" width="11" style="62" bestFit="1" customWidth="1"/>
    <col min="4131" max="4131" width="10.85546875" style="62" bestFit="1" customWidth="1"/>
    <col min="4132" max="4132" width="9.140625" style="62"/>
    <col min="4133" max="4133" width="3.85546875" style="62" bestFit="1" customWidth="1"/>
    <col min="4134" max="4134" width="7.28515625" style="62" bestFit="1" customWidth="1"/>
    <col min="4135" max="4137" width="9.140625" style="62"/>
    <col min="4138" max="4138" width="9.28515625" style="62" customWidth="1"/>
    <col min="4139" max="4139" width="9.28515625" style="62" bestFit="1" customWidth="1"/>
    <col min="4140" max="4352" width="9.140625" style="62"/>
    <col min="4353" max="4353" width="7.85546875" style="62" customWidth="1"/>
    <col min="4354" max="4354" width="12.140625" style="62" customWidth="1"/>
    <col min="4355" max="4355" width="6.28515625" style="62" customWidth="1"/>
    <col min="4356" max="4356" width="11.5703125" style="62" customWidth="1"/>
    <col min="4357" max="4357" width="7.85546875" style="62" customWidth="1"/>
    <col min="4358" max="4358" width="12.28515625" style="62" customWidth="1"/>
    <col min="4359" max="4359" width="5.28515625" style="62" customWidth="1"/>
    <col min="4360" max="4360" width="12.140625" style="62" bestFit="1" customWidth="1"/>
    <col min="4361" max="4361" width="5.7109375" style="62" customWidth="1"/>
    <col min="4362" max="4362" width="11.85546875" style="62" bestFit="1" customWidth="1"/>
    <col min="4363" max="4363" width="8" style="62" customWidth="1"/>
    <col min="4364" max="4364" width="12.5703125" style="62" customWidth="1"/>
    <col min="4365" max="4365" width="9" style="62" customWidth="1"/>
    <col min="4366" max="4366" width="11.7109375" style="62" bestFit="1" customWidth="1"/>
    <col min="4367" max="4367" width="9.42578125" style="62" customWidth="1"/>
    <col min="4368" max="4368" width="4.140625" style="62" customWidth="1"/>
    <col min="4369" max="4369" width="3.28515625" style="62" bestFit="1" customWidth="1"/>
    <col min="4370" max="4370" width="8.85546875" style="62" customWidth="1"/>
    <col min="4371" max="4371" width="10" style="62" bestFit="1" customWidth="1"/>
    <col min="4372" max="4373" width="9.42578125" style="62" customWidth="1"/>
    <col min="4374" max="4374" width="9.5703125" style="62" customWidth="1"/>
    <col min="4375" max="4375" width="9.85546875" style="62" customWidth="1"/>
    <col min="4376" max="4377" width="9.42578125" style="62" customWidth="1"/>
    <col min="4378" max="4378" width="9.85546875" style="62" customWidth="1"/>
    <col min="4379" max="4380" width="9.28515625" style="62" customWidth="1"/>
    <col min="4381" max="4381" width="9.85546875" style="62" customWidth="1"/>
    <col min="4382" max="4382" width="9.28515625" style="62" customWidth="1"/>
    <col min="4383" max="4383" width="10.42578125" style="62" customWidth="1"/>
    <col min="4384" max="4384" width="5.28515625" style="62" bestFit="1" customWidth="1"/>
    <col min="4385" max="4385" width="9.7109375" style="62" bestFit="1" customWidth="1"/>
    <col min="4386" max="4386" width="11" style="62" bestFit="1" customWidth="1"/>
    <col min="4387" max="4387" width="10.85546875" style="62" bestFit="1" customWidth="1"/>
    <col min="4388" max="4388" width="9.140625" style="62"/>
    <col min="4389" max="4389" width="3.85546875" style="62" bestFit="1" customWidth="1"/>
    <col min="4390" max="4390" width="7.28515625" style="62" bestFit="1" customWidth="1"/>
    <col min="4391" max="4393" width="9.140625" style="62"/>
    <col min="4394" max="4394" width="9.28515625" style="62" customWidth="1"/>
    <col min="4395" max="4395" width="9.28515625" style="62" bestFit="1" customWidth="1"/>
    <col min="4396" max="4608" width="9.140625" style="62"/>
    <col min="4609" max="4609" width="7.85546875" style="62" customWidth="1"/>
    <col min="4610" max="4610" width="12.140625" style="62" customWidth="1"/>
    <col min="4611" max="4611" width="6.28515625" style="62" customWidth="1"/>
    <col min="4612" max="4612" width="11.5703125" style="62" customWidth="1"/>
    <col min="4613" max="4613" width="7.85546875" style="62" customWidth="1"/>
    <col min="4614" max="4614" width="12.28515625" style="62" customWidth="1"/>
    <col min="4615" max="4615" width="5.28515625" style="62" customWidth="1"/>
    <col min="4616" max="4616" width="12.140625" style="62" bestFit="1" customWidth="1"/>
    <col min="4617" max="4617" width="5.7109375" style="62" customWidth="1"/>
    <col min="4618" max="4618" width="11.85546875" style="62" bestFit="1" customWidth="1"/>
    <col min="4619" max="4619" width="8" style="62" customWidth="1"/>
    <col min="4620" max="4620" width="12.5703125" style="62" customWidth="1"/>
    <col min="4621" max="4621" width="9" style="62" customWidth="1"/>
    <col min="4622" max="4622" width="11.7109375" style="62" bestFit="1" customWidth="1"/>
    <col min="4623" max="4623" width="9.42578125" style="62" customWidth="1"/>
    <col min="4624" max="4624" width="4.140625" style="62" customWidth="1"/>
    <col min="4625" max="4625" width="3.28515625" style="62" bestFit="1" customWidth="1"/>
    <col min="4626" max="4626" width="8.85546875" style="62" customWidth="1"/>
    <col min="4627" max="4627" width="10" style="62" bestFit="1" customWidth="1"/>
    <col min="4628" max="4629" width="9.42578125" style="62" customWidth="1"/>
    <col min="4630" max="4630" width="9.5703125" style="62" customWidth="1"/>
    <col min="4631" max="4631" width="9.85546875" style="62" customWidth="1"/>
    <col min="4632" max="4633" width="9.42578125" style="62" customWidth="1"/>
    <col min="4634" max="4634" width="9.85546875" style="62" customWidth="1"/>
    <col min="4635" max="4636" width="9.28515625" style="62" customWidth="1"/>
    <col min="4637" max="4637" width="9.85546875" style="62" customWidth="1"/>
    <col min="4638" max="4638" width="9.28515625" style="62" customWidth="1"/>
    <col min="4639" max="4639" width="10.42578125" style="62" customWidth="1"/>
    <col min="4640" max="4640" width="5.28515625" style="62" bestFit="1" customWidth="1"/>
    <col min="4641" max="4641" width="9.7109375" style="62" bestFit="1" customWidth="1"/>
    <col min="4642" max="4642" width="11" style="62" bestFit="1" customWidth="1"/>
    <col min="4643" max="4643" width="10.85546875" style="62" bestFit="1" customWidth="1"/>
    <col min="4644" max="4644" width="9.140625" style="62"/>
    <col min="4645" max="4645" width="3.85546875" style="62" bestFit="1" customWidth="1"/>
    <col min="4646" max="4646" width="7.28515625" style="62" bestFit="1" customWidth="1"/>
    <col min="4647" max="4649" width="9.140625" style="62"/>
    <col min="4650" max="4650" width="9.28515625" style="62" customWidth="1"/>
    <col min="4651" max="4651" width="9.28515625" style="62" bestFit="1" customWidth="1"/>
    <col min="4652" max="4864" width="9.140625" style="62"/>
    <col min="4865" max="4865" width="7.85546875" style="62" customWidth="1"/>
    <col min="4866" max="4866" width="12.140625" style="62" customWidth="1"/>
    <col min="4867" max="4867" width="6.28515625" style="62" customWidth="1"/>
    <col min="4868" max="4868" width="11.5703125" style="62" customWidth="1"/>
    <col min="4869" max="4869" width="7.85546875" style="62" customWidth="1"/>
    <col min="4870" max="4870" width="12.28515625" style="62" customWidth="1"/>
    <col min="4871" max="4871" width="5.28515625" style="62" customWidth="1"/>
    <col min="4872" max="4872" width="12.140625" style="62" bestFit="1" customWidth="1"/>
    <col min="4873" max="4873" width="5.7109375" style="62" customWidth="1"/>
    <col min="4874" max="4874" width="11.85546875" style="62" bestFit="1" customWidth="1"/>
    <col min="4875" max="4875" width="8" style="62" customWidth="1"/>
    <col min="4876" max="4876" width="12.5703125" style="62" customWidth="1"/>
    <col min="4877" max="4877" width="9" style="62" customWidth="1"/>
    <col min="4878" max="4878" width="11.7109375" style="62" bestFit="1" customWidth="1"/>
    <col min="4879" max="4879" width="9.42578125" style="62" customWidth="1"/>
    <col min="4880" max="4880" width="4.140625" style="62" customWidth="1"/>
    <col min="4881" max="4881" width="3.28515625" style="62" bestFit="1" customWidth="1"/>
    <col min="4882" max="4882" width="8.85546875" style="62" customWidth="1"/>
    <col min="4883" max="4883" width="10" style="62" bestFit="1" customWidth="1"/>
    <col min="4884" max="4885" width="9.42578125" style="62" customWidth="1"/>
    <col min="4886" max="4886" width="9.5703125" style="62" customWidth="1"/>
    <col min="4887" max="4887" width="9.85546875" style="62" customWidth="1"/>
    <col min="4888" max="4889" width="9.42578125" style="62" customWidth="1"/>
    <col min="4890" max="4890" width="9.85546875" style="62" customWidth="1"/>
    <col min="4891" max="4892" width="9.28515625" style="62" customWidth="1"/>
    <col min="4893" max="4893" width="9.85546875" style="62" customWidth="1"/>
    <col min="4894" max="4894" width="9.28515625" style="62" customWidth="1"/>
    <col min="4895" max="4895" width="10.42578125" style="62" customWidth="1"/>
    <col min="4896" max="4896" width="5.28515625" style="62" bestFit="1" customWidth="1"/>
    <col min="4897" max="4897" width="9.7109375" style="62" bestFit="1" customWidth="1"/>
    <col min="4898" max="4898" width="11" style="62" bestFit="1" customWidth="1"/>
    <col min="4899" max="4899" width="10.85546875" style="62" bestFit="1" customWidth="1"/>
    <col min="4900" max="4900" width="9.140625" style="62"/>
    <col min="4901" max="4901" width="3.85546875" style="62" bestFit="1" customWidth="1"/>
    <col min="4902" max="4902" width="7.28515625" style="62" bestFit="1" customWidth="1"/>
    <col min="4903" max="4905" width="9.140625" style="62"/>
    <col min="4906" max="4906" width="9.28515625" style="62" customWidth="1"/>
    <col min="4907" max="4907" width="9.28515625" style="62" bestFit="1" customWidth="1"/>
    <col min="4908" max="5120" width="9.140625" style="62"/>
    <col min="5121" max="5121" width="7.85546875" style="62" customWidth="1"/>
    <col min="5122" max="5122" width="12.140625" style="62" customWidth="1"/>
    <col min="5123" max="5123" width="6.28515625" style="62" customWidth="1"/>
    <col min="5124" max="5124" width="11.5703125" style="62" customWidth="1"/>
    <col min="5125" max="5125" width="7.85546875" style="62" customWidth="1"/>
    <col min="5126" max="5126" width="12.28515625" style="62" customWidth="1"/>
    <col min="5127" max="5127" width="5.28515625" style="62" customWidth="1"/>
    <col min="5128" max="5128" width="12.140625" style="62" bestFit="1" customWidth="1"/>
    <col min="5129" max="5129" width="5.7109375" style="62" customWidth="1"/>
    <col min="5130" max="5130" width="11.85546875" style="62" bestFit="1" customWidth="1"/>
    <col min="5131" max="5131" width="8" style="62" customWidth="1"/>
    <col min="5132" max="5132" width="12.5703125" style="62" customWidth="1"/>
    <col min="5133" max="5133" width="9" style="62" customWidth="1"/>
    <col min="5134" max="5134" width="11.7109375" style="62" bestFit="1" customWidth="1"/>
    <col min="5135" max="5135" width="9.42578125" style="62" customWidth="1"/>
    <col min="5136" max="5136" width="4.140625" style="62" customWidth="1"/>
    <col min="5137" max="5137" width="3.28515625" style="62" bestFit="1" customWidth="1"/>
    <col min="5138" max="5138" width="8.85546875" style="62" customWidth="1"/>
    <col min="5139" max="5139" width="10" style="62" bestFit="1" customWidth="1"/>
    <col min="5140" max="5141" width="9.42578125" style="62" customWidth="1"/>
    <col min="5142" max="5142" width="9.5703125" style="62" customWidth="1"/>
    <col min="5143" max="5143" width="9.85546875" style="62" customWidth="1"/>
    <col min="5144" max="5145" width="9.42578125" style="62" customWidth="1"/>
    <col min="5146" max="5146" width="9.85546875" style="62" customWidth="1"/>
    <col min="5147" max="5148" width="9.28515625" style="62" customWidth="1"/>
    <col min="5149" max="5149" width="9.85546875" style="62" customWidth="1"/>
    <col min="5150" max="5150" width="9.28515625" style="62" customWidth="1"/>
    <col min="5151" max="5151" width="10.42578125" style="62" customWidth="1"/>
    <col min="5152" max="5152" width="5.28515625" style="62" bestFit="1" customWidth="1"/>
    <col min="5153" max="5153" width="9.7109375" style="62" bestFit="1" customWidth="1"/>
    <col min="5154" max="5154" width="11" style="62" bestFit="1" customWidth="1"/>
    <col min="5155" max="5155" width="10.85546875" style="62" bestFit="1" customWidth="1"/>
    <col min="5156" max="5156" width="9.140625" style="62"/>
    <col min="5157" max="5157" width="3.85546875" style="62" bestFit="1" customWidth="1"/>
    <col min="5158" max="5158" width="7.28515625" style="62" bestFit="1" customWidth="1"/>
    <col min="5159" max="5161" width="9.140625" style="62"/>
    <col min="5162" max="5162" width="9.28515625" style="62" customWidth="1"/>
    <col min="5163" max="5163" width="9.28515625" style="62" bestFit="1" customWidth="1"/>
    <col min="5164" max="5376" width="9.140625" style="62"/>
    <col min="5377" max="5377" width="7.85546875" style="62" customWidth="1"/>
    <col min="5378" max="5378" width="12.140625" style="62" customWidth="1"/>
    <col min="5379" max="5379" width="6.28515625" style="62" customWidth="1"/>
    <col min="5380" max="5380" width="11.5703125" style="62" customWidth="1"/>
    <col min="5381" max="5381" width="7.85546875" style="62" customWidth="1"/>
    <col min="5382" max="5382" width="12.28515625" style="62" customWidth="1"/>
    <col min="5383" max="5383" width="5.28515625" style="62" customWidth="1"/>
    <col min="5384" max="5384" width="12.140625" style="62" bestFit="1" customWidth="1"/>
    <col min="5385" max="5385" width="5.7109375" style="62" customWidth="1"/>
    <col min="5386" max="5386" width="11.85546875" style="62" bestFit="1" customWidth="1"/>
    <col min="5387" max="5387" width="8" style="62" customWidth="1"/>
    <col min="5388" max="5388" width="12.5703125" style="62" customWidth="1"/>
    <col min="5389" max="5389" width="9" style="62" customWidth="1"/>
    <col min="5390" max="5390" width="11.7109375" style="62" bestFit="1" customWidth="1"/>
    <col min="5391" max="5391" width="9.42578125" style="62" customWidth="1"/>
    <col min="5392" max="5392" width="4.140625" style="62" customWidth="1"/>
    <col min="5393" max="5393" width="3.28515625" style="62" bestFit="1" customWidth="1"/>
    <col min="5394" max="5394" width="8.85546875" style="62" customWidth="1"/>
    <col min="5395" max="5395" width="10" style="62" bestFit="1" customWidth="1"/>
    <col min="5396" max="5397" width="9.42578125" style="62" customWidth="1"/>
    <col min="5398" max="5398" width="9.5703125" style="62" customWidth="1"/>
    <col min="5399" max="5399" width="9.85546875" style="62" customWidth="1"/>
    <col min="5400" max="5401" width="9.42578125" style="62" customWidth="1"/>
    <col min="5402" max="5402" width="9.85546875" style="62" customWidth="1"/>
    <col min="5403" max="5404" width="9.28515625" style="62" customWidth="1"/>
    <col min="5405" max="5405" width="9.85546875" style="62" customWidth="1"/>
    <col min="5406" max="5406" width="9.28515625" style="62" customWidth="1"/>
    <col min="5407" max="5407" width="10.42578125" style="62" customWidth="1"/>
    <col min="5408" max="5408" width="5.28515625" style="62" bestFit="1" customWidth="1"/>
    <col min="5409" max="5409" width="9.7109375" style="62" bestFit="1" customWidth="1"/>
    <col min="5410" max="5410" width="11" style="62" bestFit="1" customWidth="1"/>
    <col min="5411" max="5411" width="10.85546875" style="62" bestFit="1" customWidth="1"/>
    <col min="5412" max="5412" width="9.140625" style="62"/>
    <col min="5413" max="5413" width="3.85546875" style="62" bestFit="1" customWidth="1"/>
    <col min="5414" max="5414" width="7.28515625" style="62" bestFit="1" customWidth="1"/>
    <col min="5415" max="5417" width="9.140625" style="62"/>
    <col min="5418" max="5418" width="9.28515625" style="62" customWidth="1"/>
    <col min="5419" max="5419" width="9.28515625" style="62" bestFit="1" customWidth="1"/>
    <col min="5420" max="5632" width="9.140625" style="62"/>
    <col min="5633" max="5633" width="7.85546875" style="62" customWidth="1"/>
    <col min="5634" max="5634" width="12.140625" style="62" customWidth="1"/>
    <col min="5635" max="5635" width="6.28515625" style="62" customWidth="1"/>
    <col min="5636" max="5636" width="11.5703125" style="62" customWidth="1"/>
    <col min="5637" max="5637" width="7.85546875" style="62" customWidth="1"/>
    <col min="5638" max="5638" width="12.28515625" style="62" customWidth="1"/>
    <col min="5639" max="5639" width="5.28515625" style="62" customWidth="1"/>
    <col min="5640" max="5640" width="12.140625" style="62" bestFit="1" customWidth="1"/>
    <col min="5641" max="5641" width="5.7109375" style="62" customWidth="1"/>
    <col min="5642" max="5642" width="11.85546875" style="62" bestFit="1" customWidth="1"/>
    <col min="5643" max="5643" width="8" style="62" customWidth="1"/>
    <col min="5644" max="5644" width="12.5703125" style="62" customWidth="1"/>
    <col min="5645" max="5645" width="9" style="62" customWidth="1"/>
    <col min="5646" max="5646" width="11.7109375" style="62" bestFit="1" customWidth="1"/>
    <col min="5647" max="5647" width="9.42578125" style="62" customWidth="1"/>
    <col min="5648" max="5648" width="4.140625" style="62" customWidth="1"/>
    <col min="5649" max="5649" width="3.28515625" style="62" bestFit="1" customWidth="1"/>
    <col min="5650" max="5650" width="8.85546875" style="62" customWidth="1"/>
    <col min="5651" max="5651" width="10" style="62" bestFit="1" customWidth="1"/>
    <col min="5652" max="5653" width="9.42578125" style="62" customWidth="1"/>
    <col min="5654" max="5654" width="9.5703125" style="62" customWidth="1"/>
    <col min="5655" max="5655" width="9.85546875" style="62" customWidth="1"/>
    <col min="5656" max="5657" width="9.42578125" style="62" customWidth="1"/>
    <col min="5658" max="5658" width="9.85546875" style="62" customWidth="1"/>
    <col min="5659" max="5660" width="9.28515625" style="62" customWidth="1"/>
    <col min="5661" max="5661" width="9.85546875" style="62" customWidth="1"/>
    <col min="5662" max="5662" width="9.28515625" style="62" customWidth="1"/>
    <col min="5663" max="5663" width="10.42578125" style="62" customWidth="1"/>
    <col min="5664" max="5664" width="5.28515625" style="62" bestFit="1" customWidth="1"/>
    <col min="5665" max="5665" width="9.7109375" style="62" bestFit="1" customWidth="1"/>
    <col min="5666" max="5666" width="11" style="62" bestFit="1" customWidth="1"/>
    <col min="5667" max="5667" width="10.85546875" style="62" bestFit="1" customWidth="1"/>
    <col min="5668" max="5668" width="9.140625" style="62"/>
    <col min="5669" max="5669" width="3.85546875" style="62" bestFit="1" customWidth="1"/>
    <col min="5670" max="5670" width="7.28515625" style="62" bestFit="1" customWidth="1"/>
    <col min="5671" max="5673" width="9.140625" style="62"/>
    <col min="5674" max="5674" width="9.28515625" style="62" customWidth="1"/>
    <col min="5675" max="5675" width="9.28515625" style="62" bestFit="1" customWidth="1"/>
    <col min="5676" max="5888" width="9.140625" style="62"/>
    <col min="5889" max="5889" width="7.85546875" style="62" customWidth="1"/>
    <col min="5890" max="5890" width="12.140625" style="62" customWidth="1"/>
    <col min="5891" max="5891" width="6.28515625" style="62" customWidth="1"/>
    <col min="5892" max="5892" width="11.5703125" style="62" customWidth="1"/>
    <col min="5893" max="5893" width="7.85546875" style="62" customWidth="1"/>
    <col min="5894" max="5894" width="12.28515625" style="62" customWidth="1"/>
    <col min="5895" max="5895" width="5.28515625" style="62" customWidth="1"/>
    <col min="5896" max="5896" width="12.140625" style="62" bestFit="1" customWidth="1"/>
    <col min="5897" max="5897" width="5.7109375" style="62" customWidth="1"/>
    <col min="5898" max="5898" width="11.85546875" style="62" bestFit="1" customWidth="1"/>
    <col min="5899" max="5899" width="8" style="62" customWidth="1"/>
    <col min="5900" max="5900" width="12.5703125" style="62" customWidth="1"/>
    <col min="5901" max="5901" width="9" style="62" customWidth="1"/>
    <col min="5902" max="5902" width="11.7109375" style="62" bestFit="1" customWidth="1"/>
    <col min="5903" max="5903" width="9.42578125" style="62" customWidth="1"/>
    <col min="5904" max="5904" width="4.140625" style="62" customWidth="1"/>
    <col min="5905" max="5905" width="3.28515625" style="62" bestFit="1" customWidth="1"/>
    <col min="5906" max="5906" width="8.85546875" style="62" customWidth="1"/>
    <col min="5907" max="5907" width="10" style="62" bestFit="1" customWidth="1"/>
    <col min="5908" max="5909" width="9.42578125" style="62" customWidth="1"/>
    <col min="5910" max="5910" width="9.5703125" style="62" customWidth="1"/>
    <col min="5911" max="5911" width="9.85546875" style="62" customWidth="1"/>
    <col min="5912" max="5913" width="9.42578125" style="62" customWidth="1"/>
    <col min="5914" max="5914" width="9.85546875" style="62" customWidth="1"/>
    <col min="5915" max="5916" width="9.28515625" style="62" customWidth="1"/>
    <col min="5917" max="5917" width="9.85546875" style="62" customWidth="1"/>
    <col min="5918" max="5918" width="9.28515625" style="62" customWidth="1"/>
    <col min="5919" max="5919" width="10.42578125" style="62" customWidth="1"/>
    <col min="5920" max="5920" width="5.28515625" style="62" bestFit="1" customWidth="1"/>
    <col min="5921" max="5921" width="9.7109375" style="62" bestFit="1" customWidth="1"/>
    <col min="5922" max="5922" width="11" style="62" bestFit="1" customWidth="1"/>
    <col min="5923" max="5923" width="10.85546875" style="62" bestFit="1" customWidth="1"/>
    <col min="5924" max="5924" width="9.140625" style="62"/>
    <col min="5925" max="5925" width="3.85546875" style="62" bestFit="1" customWidth="1"/>
    <col min="5926" max="5926" width="7.28515625" style="62" bestFit="1" customWidth="1"/>
    <col min="5927" max="5929" width="9.140625" style="62"/>
    <col min="5930" max="5930" width="9.28515625" style="62" customWidth="1"/>
    <col min="5931" max="5931" width="9.28515625" style="62" bestFit="1" customWidth="1"/>
    <col min="5932" max="6144" width="9.140625" style="62"/>
    <col min="6145" max="6145" width="7.85546875" style="62" customWidth="1"/>
    <col min="6146" max="6146" width="12.140625" style="62" customWidth="1"/>
    <col min="6147" max="6147" width="6.28515625" style="62" customWidth="1"/>
    <col min="6148" max="6148" width="11.5703125" style="62" customWidth="1"/>
    <col min="6149" max="6149" width="7.85546875" style="62" customWidth="1"/>
    <col min="6150" max="6150" width="12.28515625" style="62" customWidth="1"/>
    <col min="6151" max="6151" width="5.28515625" style="62" customWidth="1"/>
    <col min="6152" max="6152" width="12.140625" style="62" bestFit="1" customWidth="1"/>
    <col min="6153" max="6153" width="5.7109375" style="62" customWidth="1"/>
    <col min="6154" max="6154" width="11.85546875" style="62" bestFit="1" customWidth="1"/>
    <col min="6155" max="6155" width="8" style="62" customWidth="1"/>
    <col min="6156" max="6156" width="12.5703125" style="62" customWidth="1"/>
    <col min="6157" max="6157" width="9" style="62" customWidth="1"/>
    <col min="6158" max="6158" width="11.7109375" style="62" bestFit="1" customWidth="1"/>
    <col min="6159" max="6159" width="9.42578125" style="62" customWidth="1"/>
    <col min="6160" max="6160" width="4.140625" style="62" customWidth="1"/>
    <col min="6161" max="6161" width="3.28515625" style="62" bestFit="1" customWidth="1"/>
    <col min="6162" max="6162" width="8.85546875" style="62" customWidth="1"/>
    <col min="6163" max="6163" width="10" style="62" bestFit="1" customWidth="1"/>
    <col min="6164" max="6165" width="9.42578125" style="62" customWidth="1"/>
    <col min="6166" max="6166" width="9.5703125" style="62" customWidth="1"/>
    <col min="6167" max="6167" width="9.85546875" style="62" customWidth="1"/>
    <col min="6168" max="6169" width="9.42578125" style="62" customWidth="1"/>
    <col min="6170" max="6170" width="9.85546875" style="62" customWidth="1"/>
    <col min="6171" max="6172" width="9.28515625" style="62" customWidth="1"/>
    <col min="6173" max="6173" width="9.85546875" style="62" customWidth="1"/>
    <col min="6174" max="6174" width="9.28515625" style="62" customWidth="1"/>
    <col min="6175" max="6175" width="10.42578125" style="62" customWidth="1"/>
    <col min="6176" max="6176" width="5.28515625" style="62" bestFit="1" customWidth="1"/>
    <col min="6177" max="6177" width="9.7109375" style="62" bestFit="1" customWidth="1"/>
    <col min="6178" max="6178" width="11" style="62" bestFit="1" customWidth="1"/>
    <col min="6179" max="6179" width="10.85546875" style="62" bestFit="1" customWidth="1"/>
    <col min="6180" max="6180" width="9.140625" style="62"/>
    <col min="6181" max="6181" width="3.85546875" style="62" bestFit="1" customWidth="1"/>
    <col min="6182" max="6182" width="7.28515625" style="62" bestFit="1" customWidth="1"/>
    <col min="6183" max="6185" width="9.140625" style="62"/>
    <col min="6186" max="6186" width="9.28515625" style="62" customWidth="1"/>
    <col min="6187" max="6187" width="9.28515625" style="62" bestFit="1" customWidth="1"/>
    <col min="6188" max="6400" width="9.140625" style="62"/>
    <col min="6401" max="6401" width="7.85546875" style="62" customWidth="1"/>
    <col min="6402" max="6402" width="12.140625" style="62" customWidth="1"/>
    <col min="6403" max="6403" width="6.28515625" style="62" customWidth="1"/>
    <col min="6404" max="6404" width="11.5703125" style="62" customWidth="1"/>
    <col min="6405" max="6405" width="7.85546875" style="62" customWidth="1"/>
    <col min="6406" max="6406" width="12.28515625" style="62" customWidth="1"/>
    <col min="6407" max="6407" width="5.28515625" style="62" customWidth="1"/>
    <col min="6408" max="6408" width="12.140625" style="62" bestFit="1" customWidth="1"/>
    <col min="6409" max="6409" width="5.7109375" style="62" customWidth="1"/>
    <col min="6410" max="6410" width="11.85546875" style="62" bestFit="1" customWidth="1"/>
    <col min="6411" max="6411" width="8" style="62" customWidth="1"/>
    <col min="6412" max="6412" width="12.5703125" style="62" customWidth="1"/>
    <col min="6413" max="6413" width="9" style="62" customWidth="1"/>
    <col min="6414" max="6414" width="11.7109375" style="62" bestFit="1" customWidth="1"/>
    <col min="6415" max="6415" width="9.42578125" style="62" customWidth="1"/>
    <col min="6416" max="6416" width="4.140625" style="62" customWidth="1"/>
    <col min="6417" max="6417" width="3.28515625" style="62" bestFit="1" customWidth="1"/>
    <col min="6418" max="6418" width="8.85546875" style="62" customWidth="1"/>
    <col min="6419" max="6419" width="10" style="62" bestFit="1" customWidth="1"/>
    <col min="6420" max="6421" width="9.42578125" style="62" customWidth="1"/>
    <col min="6422" max="6422" width="9.5703125" style="62" customWidth="1"/>
    <col min="6423" max="6423" width="9.85546875" style="62" customWidth="1"/>
    <col min="6424" max="6425" width="9.42578125" style="62" customWidth="1"/>
    <col min="6426" max="6426" width="9.85546875" style="62" customWidth="1"/>
    <col min="6427" max="6428" width="9.28515625" style="62" customWidth="1"/>
    <col min="6429" max="6429" width="9.85546875" style="62" customWidth="1"/>
    <col min="6430" max="6430" width="9.28515625" style="62" customWidth="1"/>
    <col min="6431" max="6431" width="10.42578125" style="62" customWidth="1"/>
    <col min="6432" max="6432" width="5.28515625" style="62" bestFit="1" customWidth="1"/>
    <col min="6433" max="6433" width="9.7109375" style="62" bestFit="1" customWidth="1"/>
    <col min="6434" max="6434" width="11" style="62" bestFit="1" customWidth="1"/>
    <col min="6435" max="6435" width="10.85546875" style="62" bestFit="1" customWidth="1"/>
    <col min="6436" max="6436" width="9.140625" style="62"/>
    <col min="6437" max="6437" width="3.85546875" style="62" bestFit="1" customWidth="1"/>
    <col min="6438" max="6438" width="7.28515625" style="62" bestFit="1" customWidth="1"/>
    <col min="6439" max="6441" width="9.140625" style="62"/>
    <col min="6442" max="6442" width="9.28515625" style="62" customWidth="1"/>
    <col min="6443" max="6443" width="9.28515625" style="62" bestFit="1" customWidth="1"/>
    <col min="6444" max="6656" width="9.140625" style="62"/>
    <col min="6657" max="6657" width="7.85546875" style="62" customWidth="1"/>
    <col min="6658" max="6658" width="12.140625" style="62" customWidth="1"/>
    <col min="6659" max="6659" width="6.28515625" style="62" customWidth="1"/>
    <col min="6660" max="6660" width="11.5703125" style="62" customWidth="1"/>
    <col min="6661" max="6661" width="7.85546875" style="62" customWidth="1"/>
    <col min="6662" max="6662" width="12.28515625" style="62" customWidth="1"/>
    <col min="6663" max="6663" width="5.28515625" style="62" customWidth="1"/>
    <col min="6664" max="6664" width="12.140625" style="62" bestFit="1" customWidth="1"/>
    <col min="6665" max="6665" width="5.7109375" style="62" customWidth="1"/>
    <col min="6666" max="6666" width="11.85546875" style="62" bestFit="1" customWidth="1"/>
    <col min="6667" max="6667" width="8" style="62" customWidth="1"/>
    <col min="6668" max="6668" width="12.5703125" style="62" customWidth="1"/>
    <col min="6669" max="6669" width="9" style="62" customWidth="1"/>
    <col min="6670" max="6670" width="11.7109375" style="62" bestFit="1" customWidth="1"/>
    <col min="6671" max="6671" width="9.42578125" style="62" customWidth="1"/>
    <col min="6672" max="6672" width="4.140625" style="62" customWidth="1"/>
    <col min="6673" max="6673" width="3.28515625" style="62" bestFit="1" customWidth="1"/>
    <col min="6674" max="6674" width="8.85546875" style="62" customWidth="1"/>
    <col min="6675" max="6675" width="10" style="62" bestFit="1" customWidth="1"/>
    <col min="6676" max="6677" width="9.42578125" style="62" customWidth="1"/>
    <col min="6678" max="6678" width="9.5703125" style="62" customWidth="1"/>
    <col min="6679" max="6679" width="9.85546875" style="62" customWidth="1"/>
    <col min="6680" max="6681" width="9.42578125" style="62" customWidth="1"/>
    <col min="6682" max="6682" width="9.85546875" style="62" customWidth="1"/>
    <col min="6683" max="6684" width="9.28515625" style="62" customWidth="1"/>
    <col min="6685" max="6685" width="9.85546875" style="62" customWidth="1"/>
    <col min="6686" max="6686" width="9.28515625" style="62" customWidth="1"/>
    <col min="6687" max="6687" width="10.42578125" style="62" customWidth="1"/>
    <col min="6688" max="6688" width="5.28515625" style="62" bestFit="1" customWidth="1"/>
    <col min="6689" max="6689" width="9.7109375" style="62" bestFit="1" customWidth="1"/>
    <col min="6690" max="6690" width="11" style="62" bestFit="1" customWidth="1"/>
    <col min="6691" max="6691" width="10.85546875" style="62" bestFit="1" customWidth="1"/>
    <col min="6692" max="6692" width="9.140625" style="62"/>
    <col min="6693" max="6693" width="3.85546875" style="62" bestFit="1" customWidth="1"/>
    <col min="6694" max="6694" width="7.28515625" style="62" bestFit="1" customWidth="1"/>
    <col min="6695" max="6697" width="9.140625" style="62"/>
    <col min="6698" max="6698" width="9.28515625" style="62" customWidth="1"/>
    <col min="6699" max="6699" width="9.28515625" style="62" bestFit="1" customWidth="1"/>
    <col min="6700" max="6912" width="9.140625" style="62"/>
    <col min="6913" max="6913" width="7.85546875" style="62" customWidth="1"/>
    <col min="6914" max="6914" width="12.140625" style="62" customWidth="1"/>
    <col min="6915" max="6915" width="6.28515625" style="62" customWidth="1"/>
    <col min="6916" max="6916" width="11.5703125" style="62" customWidth="1"/>
    <col min="6917" max="6917" width="7.85546875" style="62" customWidth="1"/>
    <col min="6918" max="6918" width="12.28515625" style="62" customWidth="1"/>
    <col min="6919" max="6919" width="5.28515625" style="62" customWidth="1"/>
    <col min="6920" max="6920" width="12.140625" style="62" bestFit="1" customWidth="1"/>
    <col min="6921" max="6921" width="5.7109375" style="62" customWidth="1"/>
    <col min="6922" max="6922" width="11.85546875" style="62" bestFit="1" customWidth="1"/>
    <col min="6923" max="6923" width="8" style="62" customWidth="1"/>
    <col min="6924" max="6924" width="12.5703125" style="62" customWidth="1"/>
    <col min="6925" max="6925" width="9" style="62" customWidth="1"/>
    <col min="6926" max="6926" width="11.7109375" style="62" bestFit="1" customWidth="1"/>
    <col min="6927" max="6927" width="9.42578125" style="62" customWidth="1"/>
    <col min="6928" max="6928" width="4.140625" style="62" customWidth="1"/>
    <col min="6929" max="6929" width="3.28515625" style="62" bestFit="1" customWidth="1"/>
    <col min="6930" max="6930" width="8.85546875" style="62" customWidth="1"/>
    <col min="6931" max="6931" width="10" style="62" bestFit="1" customWidth="1"/>
    <col min="6932" max="6933" width="9.42578125" style="62" customWidth="1"/>
    <col min="6934" max="6934" width="9.5703125" style="62" customWidth="1"/>
    <col min="6935" max="6935" width="9.85546875" style="62" customWidth="1"/>
    <col min="6936" max="6937" width="9.42578125" style="62" customWidth="1"/>
    <col min="6938" max="6938" width="9.85546875" style="62" customWidth="1"/>
    <col min="6939" max="6940" width="9.28515625" style="62" customWidth="1"/>
    <col min="6941" max="6941" width="9.85546875" style="62" customWidth="1"/>
    <col min="6942" max="6942" width="9.28515625" style="62" customWidth="1"/>
    <col min="6943" max="6943" width="10.42578125" style="62" customWidth="1"/>
    <col min="6944" max="6944" width="5.28515625" style="62" bestFit="1" customWidth="1"/>
    <col min="6945" max="6945" width="9.7109375" style="62" bestFit="1" customWidth="1"/>
    <col min="6946" max="6946" width="11" style="62" bestFit="1" customWidth="1"/>
    <col min="6947" max="6947" width="10.85546875" style="62" bestFit="1" customWidth="1"/>
    <col min="6948" max="6948" width="9.140625" style="62"/>
    <col min="6949" max="6949" width="3.85546875" style="62" bestFit="1" customWidth="1"/>
    <col min="6950" max="6950" width="7.28515625" style="62" bestFit="1" customWidth="1"/>
    <col min="6951" max="6953" width="9.140625" style="62"/>
    <col min="6954" max="6954" width="9.28515625" style="62" customWidth="1"/>
    <col min="6955" max="6955" width="9.28515625" style="62" bestFit="1" customWidth="1"/>
    <col min="6956" max="7168" width="9.140625" style="62"/>
    <col min="7169" max="7169" width="7.85546875" style="62" customWidth="1"/>
    <col min="7170" max="7170" width="12.140625" style="62" customWidth="1"/>
    <col min="7171" max="7171" width="6.28515625" style="62" customWidth="1"/>
    <col min="7172" max="7172" width="11.5703125" style="62" customWidth="1"/>
    <col min="7173" max="7173" width="7.85546875" style="62" customWidth="1"/>
    <col min="7174" max="7174" width="12.28515625" style="62" customWidth="1"/>
    <col min="7175" max="7175" width="5.28515625" style="62" customWidth="1"/>
    <col min="7176" max="7176" width="12.140625" style="62" bestFit="1" customWidth="1"/>
    <col min="7177" max="7177" width="5.7109375" style="62" customWidth="1"/>
    <col min="7178" max="7178" width="11.85546875" style="62" bestFit="1" customWidth="1"/>
    <col min="7179" max="7179" width="8" style="62" customWidth="1"/>
    <col min="7180" max="7180" width="12.5703125" style="62" customWidth="1"/>
    <col min="7181" max="7181" width="9" style="62" customWidth="1"/>
    <col min="7182" max="7182" width="11.7109375" style="62" bestFit="1" customWidth="1"/>
    <col min="7183" max="7183" width="9.42578125" style="62" customWidth="1"/>
    <col min="7184" max="7184" width="4.140625" style="62" customWidth="1"/>
    <col min="7185" max="7185" width="3.28515625" style="62" bestFit="1" customWidth="1"/>
    <col min="7186" max="7186" width="8.85546875" style="62" customWidth="1"/>
    <col min="7187" max="7187" width="10" style="62" bestFit="1" customWidth="1"/>
    <col min="7188" max="7189" width="9.42578125" style="62" customWidth="1"/>
    <col min="7190" max="7190" width="9.5703125" style="62" customWidth="1"/>
    <col min="7191" max="7191" width="9.85546875" style="62" customWidth="1"/>
    <col min="7192" max="7193" width="9.42578125" style="62" customWidth="1"/>
    <col min="7194" max="7194" width="9.85546875" style="62" customWidth="1"/>
    <col min="7195" max="7196" width="9.28515625" style="62" customWidth="1"/>
    <col min="7197" max="7197" width="9.85546875" style="62" customWidth="1"/>
    <col min="7198" max="7198" width="9.28515625" style="62" customWidth="1"/>
    <col min="7199" max="7199" width="10.42578125" style="62" customWidth="1"/>
    <col min="7200" max="7200" width="5.28515625" style="62" bestFit="1" customWidth="1"/>
    <col min="7201" max="7201" width="9.7109375" style="62" bestFit="1" customWidth="1"/>
    <col min="7202" max="7202" width="11" style="62" bestFit="1" customWidth="1"/>
    <col min="7203" max="7203" width="10.85546875" style="62" bestFit="1" customWidth="1"/>
    <col min="7204" max="7204" width="9.140625" style="62"/>
    <col min="7205" max="7205" width="3.85546875" style="62" bestFit="1" customWidth="1"/>
    <col min="7206" max="7206" width="7.28515625" style="62" bestFit="1" customWidth="1"/>
    <col min="7207" max="7209" width="9.140625" style="62"/>
    <col min="7210" max="7210" width="9.28515625" style="62" customWidth="1"/>
    <col min="7211" max="7211" width="9.28515625" style="62" bestFit="1" customWidth="1"/>
    <col min="7212" max="7424" width="9.140625" style="62"/>
    <col min="7425" max="7425" width="7.85546875" style="62" customWidth="1"/>
    <col min="7426" max="7426" width="12.140625" style="62" customWidth="1"/>
    <col min="7427" max="7427" width="6.28515625" style="62" customWidth="1"/>
    <col min="7428" max="7428" width="11.5703125" style="62" customWidth="1"/>
    <col min="7429" max="7429" width="7.85546875" style="62" customWidth="1"/>
    <col min="7430" max="7430" width="12.28515625" style="62" customWidth="1"/>
    <col min="7431" max="7431" width="5.28515625" style="62" customWidth="1"/>
    <col min="7432" max="7432" width="12.140625" style="62" bestFit="1" customWidth="1"/>
    <col min="7433" max="7433" width="5.7109375" style="62" customWidth="1"/>
    <col min="7434" max="7434" width="11.85546875" style="62" bestFit="1" customWidth="1"/>
    <col min="7435" max="7435" width="8" style="62" customWidth="1"/>
    <col min="7436" max="7436" width="12.5703125" style="62" customWidth="1"/>
    <col min="7437" max="7437" width="9" style="62" customWidth="1"/>
    <col min="7438" max="7438" width="11.7109375" style="62" bestFit="1" customWidth="1"/>
    <col min="7439" max="7439" width="9.42578125" style="62" customWidth="1"/>
    <col min="7440" max="7440" width="4.140625" style="62" customWidth="1"/>
    <col min="7441" max="7441" width="3.28515625" style="62" bestFit="1" customWidth="1"/>
    <col min="7442" max="7442" width="8.85546875" style="62" customWidth="1"/>
    <col min="7443" max="7443" width="10" style="62" bestFit="1" customWidth="1"/>
    <col min="7444" max="7445" width="9.42578125" style="62" customWidth="1"/>
    <col min="7446" max="7446" width="9.5703125" style="62" customWidth="1"/>
    <col min="7447" max="7447" width="9.85546875" style="62" customWidth="1"/>
    <col min="7448" max="7449" width="9.42578125" style="62" customWidth="1"/>
    <col min="7450" max="7450" width="9.85546875" style="62" customWidth="1"/>
    <col min="7451" max="7452" width="9.28515625" style="62" customWidth="1"/>
    <col min="7453" max="7453" width="9.85546875" style="62" customWidth="1"/>
    <col min="7454" max="7454" width="9.28515625" style="62" customWidth="1"/>
    <col min="7455" max="7455" width="10.42578125" style="62" customWidth="1"/>
    <col min="7456" max="7456" width="5.28515625" style="62" bestFit="1" customWidth="1"/>
    <col min="7457" max="7457" width="9.7109375" style="62" bestFit="1" customWidth="1"/>
    <col min="7458" max="7458" width="11" style="62" bestFit="1" customWidth="1"/>
    <col min="7459" max="7459" width="10.85546875" style="62" bestFit="1" customWidth="1"/>
    <col min="7460" max="7460" width="9.140625" style="62"/>
    <col min="7461" max="7461" width="3.85546875" style="62" bestFit="1" customWidth="1"/>
    <col min="7462" max="7462" width="7.28515625" style="62" bestFit="1" customWidth="1"/>
    <col min="7463" max="7465" width="9.140625" style="62"/>
    <col min="7466" max="7466" width="9.28515625" style="62" customWidth="1"/>
    <col min="7467" max="7467" width="9.28515625" style="62" bestFit="1" customWidth="1"/>
    <col min="7468" max="7680" width="9.140625" style="62"/>
    <col min="7681" max="7681" width="7.85546875" style="62" customWidth="1"/>
    <col min="7682" max="7682" width="12.140625" style="62" customWidth="1"/>
    <col min="7683" max="7683" width="6.28515625" style="62" customWidth="1"/>
    <col min="7684" max="7684" width="11.5703125" style="62" customWidth="1"/>
    <col min="7685" max="7685" width="7.85546875" style="62" customWidth="1"/>
    <col min="7686" max="7686" width="12.28515625" style="62" customWidth="1"/>
    <col min="7687" max="7687" width="5.28515625" style="62" customWidth="1"/>
    <col min="7688" max="7688" width="12.140625" style="62" bestFit="1" customWidth="1"/>
    <col min="7689" max="7689" width="5.7109375" style="62" customWidth="1"/>
    <col min="7690" max="7690" width="11.85546875" style="62" bestFit="1" customWidth="1"/>
    <col min="7691" max="7691" width="8" style="62" customWidth="1"/>
    <col min="7692" max="7692" width="12.5703125" style="62" customWidth="1"/>
    <col min="7693" max="7693" width="9" style="62" customWidth="1"/>
    <col min="7694" max="7694" width="11.7109375" style="62" bestFit="1" customWidth="1"/>
    <col min="7695" max="7695" width="9.42578125" style="62" customWidth="1"/>
    <col min="7696" max="7696" width="4.140625" style="62" customWidth="1"/>
    <col min="7697" max="7697" width="3.28515625" style="62" bestFit="1" customWidth="1"/>
    <col min="7698" max="7698" width="8.85546875" style="62" customWidth="1"/>
    <col min="7699" max="7699" width="10" style="62" bestFit="1" customWidth="1"/>
    <col min="7700" max="7701" width="9.42578125" style="62" customWidth="1"/>
    <col min="7702" max="7702" width="9.5703125" style="62" customWidth="1"/>
    <col min="7703" max="7703" width="9.85546875" style="62" customWidth="1"/>
    <col min="7704" max="7705" width="9.42578125" style="62" customWidth="1"/>
    <col min="7706" max="7706" width="9.85546875" style="62" customWidth="1"/>
    <col min="7707" max="7708" width="9.28515625" style="62" customWidth="1"/>
    <col min="7709" max="7709" width="9.85546875" style="62" customWidth="1"/>
    <col min="7710" max="7710" width="9.28515625" style="62" customWidth="1"/>
    <col min="7711" max="7711" width="10.42578125" style="62" customWidth="1"/>
    <col min="7712" max="7712" width="5.28515625" style="62" bestFit="1" customWidth="1"/>
    <col min="7713" max="7713" width="9.7109375" style="62" bestFit="1" customWidth="1"/>
    <col min="7714" max="7714" width="11" style="62" bestFit="1" customWidth="1"/>
    <col min="7715" max="7715" width="10.85546875" style="62" bestFit="1" customWidth="1"/>
    <col min="7716" max="7716" width="9.140625" style="62"/>
    <col min="7717" max="7717" width="3.85546875" style="62" bestFit="1" customWidth="1"/>
    <col min="7718" max="7718" width="7.28515625" style="62" bestFit="1" customWidth="1"/>
    <col min="7719" max="7721" width="9.140625" style="62"/>
    <col min="7722" max="7722" width="9.28515625" style="62" customWidth="1"/>
    <col min="7723" max="7723" width="9.28515625" style="62" bestFit="1" customWidth="1"/>
    <col min="7724" max="7936" width="9.140625" style="62"/>
    <col min="7937" max="7937" width="7.85546875" style="62" customWidth="1"/>
    <col min="7938" max="7938" width="12.140625" style="62" customWidth="1"/>
    <col min="7939" max="7939" width="6.28515625" style="62" customWidth="1"/>
    <col min="7940" max="7940" width="11.5703125" style="62" customWidth="1"/>
    <col min="7941" max="7941" width="7.85546875" style="62" customWidth="1"/>
    <col min="7942" max="7942" width="12.28515625" style="62" customWidth="1"/>
    <col min="7943" max="7943" width="5.28515625" style="62" customWidth="1"/>
    <col min="7944" max="7944" width="12.140625" style="62" bestFit="1" customWidth="1"/>
    <col min="7945" max="7945" width="5.7109375" style="62" customWidth="1"/>
    <col min="7946" max="7946" width="11.85546875" style="62" bestFit="1" customWidth="1"/>
    <col min="7947" max="7947" width="8" style="62" customWidth="1"/>
    <col min="7948" max="7948" width="12.5703125" style="62" customWidth="1"/>
    <col min="7949" max="7949" width="9" style="62" customWidth="1"/>
    <col min="7950" max="7950" width="11.7109375" style="62" bestFit="1" customWidth="1"/>
    <col min="7951" max="7951" width="9.42578125" style="62" customWidth="1"/>
    <col min="7952" max="7952" width="4.140625" style="62" customWidth="1"/>
    <col min="7953" max="7953" width="3.28515625" style="62" bestFit="1" customWidth="1"/>
    <col min="7954" max="7954" width="8.85546875" style="62" customWidth="1"/>
    <col min="7955" max="7955" width="10" style="62" bestFit="1" customWidth="1"/>
    <col min="7956" max="7957" width="9.42578125" style="62" customWidth="1"/>
    <col min="7958" max="7958" width="9.5703125" style="62" customWidth="1"/>
    <col min="7959" max="7959" width="9.85546875" style="62" customWidth="1"/>
    <col min="7960" max="7961" width="9.42578125" style="62" customWidth="1"/>
    <col min="7962" max="7962" width="9.85546875" style="62" customWidth="1"/>
    <col min="7963" max="7964" width="9.28515625" style="62" customWidth="1"/>
    <col min="7965" max="7965" width="9.85546875" style="62" customWidth="1"/>
    <col min="7966" max="7966" width="9.28515625" style="62" customWidth="1"/>
    <col min="7967" max="7967" width="10.42578125" style="62" customWidth="1"/>
    <col min="7968" max="7968" width="5.28515625" style="62" bestFit="1" customWidth="1"/>
    <col min="7969" max="7969" width="9.7109375" style="62" bestFit="1" customWidth="1"/>
    <col min="7970" max="7970" width="11" style="62" bestFit="1" customWidth="1"/>
    <col min="7971" max="7971" width="10.85546875" style="62" bestFit="1" customWidth="1"/>
    <col min="7972" max="7972" width="9.140625" style="62"/>
    <col min="7973" max="7973" width="3.85546875" style="62" bestFit="1" customWidth="1"/>
    <col min="7974" max="7974" width="7.28515625" style="62" bestFit="1" customWidth="1"/>
    <col min="7975" max="7977" width="9.140625" style="62"/>
    <col min="7978" max="7978" width="9.28515625" style="62" customWidth="1"/>
    <col min="7979" max="7979" width="9.28515625" style="62" bestFit="1" customWidth="1"/>
    <col min="7980" max="8192" width="9.140625" style="62"/>
    <col min="8193" max="8193" width="7.85546875" style="62" customWidth="1"/>
    <col min="8194" max="8194" width="12.140625" style="62" customWidth="1"/>
    <col min="8195" max="8195" width="6.28515625" style="62" customWidth="1"/>
    <col min="8196" max="8196" width="11.5703125" style="62" customWidth="1"/>
    <col min="8197" max="8197" width="7.85546875" style="62" customWidth="1"/>
    <col min="8198" max="8198" width="12.28515625" style="62" customWidth="1"/>
    <col min="8199" max="8199" width="5.28515625" style="62" customWidth="1"/>
    <col min="8200" max="8200" width="12.140625" style="62" bestFit="1" customWidth="1"/>
    <col min="8201" max="8201" width="5.7109375" style="62" customWidth="1"/>
    <col min="8202" max="8202" width="11.85546875" style="62" bestFit="1" customWidth="1"/>
    <col min="8203" max="8203" width="8" style="62" customWidth="1"/>
    <col min="8204" max="8204" width="12.5703125" style="62" customWidth="1"/>
    <col min="8205" max="8205" width="9" style="62" customWidth="1"/>
    <col min="8206" max="8206" width="11.7109375" style="62" bestFit="1" customWidth="1"/>
    <col min="8207" max="8207" width="9.42578125" style="62" customWidth="1"/>
    <col min="8208" max="8208" width="4.140625" style="62" customWidth="1"/>
    <col min="8209" max="8209" width="3.28515625" style="62" bestFit="1" customWidth="1"/>
    <col min="8210" max="8210" width="8.85546875" style="62" customWidth="1"/>
    <col min="8211" max="8211" width="10" style="62" bestFit="1" customWidth="1"/>
    <col min="8212" max="8213" width="9.42578125" style="62" customWidth="1"/>
    <col min="8214" max="8214" width="9.5703125" style="62" customWidth="1"/>
    <col min="8215" max="8215" width="9.85546875" style="62" customWidth="1"/>
    <col min="8216" max="8217" width="9.42578125" style="62" customWidth="1"/>
    <col min="8218" max="8218" width="9.85546875" style="62" customWidth="1"/>
    <col min="8219" max="8220" width="9.28515625" style="62" customWidth="1"/>
    <col min="8221" max="8221" width="9.85546875" style="62" customWidth="1"/>
    <col min="8222" max="8222" width="9.28515625" style="62" customWidth="1"/>
    <col min="8223" max="8223" width="10.42578125" style="62" customWidth="1"/>
    <col min="8224" max="8224" width="5.28515625" style="62" bestFit="1" customWidth="1"/>
    <col min="8225" max="8225" width="9.7109375" style="62" bestFit="1" customWidth="1"/>
    <col min="8226" max="8226" width="11" style="62" bestFit="1" customWidth="1"/>
    <col min="8227" max="8227" width="10.85546875" style="62" bestFit="1" customWidth="1"/>
    <col min="8228" max="8228" width="9.140625" style="62"/>
    <col min="8229" max="8229" width="3.85546875" style="62" bestFit="1" customWidth="1"/>
    <col min="8230" max="8230" width="7.28515625" style="62" bestFit="1" customWidth="1"/>
    <col min="8231" max="8233" width="9.140625" style="62"/>
    <col min="8234" max="8234" width="9.28515625" style="62" customWidth="1"/>
    <col min="8235" max="8235" width="9.28515625" style="62" bestFit="1" customWidth="1"/>
    <col min="8236" max="8448" width="9.140625" style="62"/>
    <col min="8449" max="8449" width="7.85546875" style="62" customWidth="1"/>
    <col min="8450" max="8450" width="12.140625" style="62" customWidth="1"/>
    <col min="8451" max="8451" width="6.28515625" style="62" customWidth="1"/>
    <col min="8452" max="8452" width="11.5703125" style="62" customWidth="1"/>
    <col min="8453" max="8453" width="7.85546875" style="62" customWidth="1"/>
    <col min="8454" max="8454" width="12.28515625" style="62" customWidth="1"/>
    <col min="8455" max="8455" width="5.28515625" style="62" customWidth="1"/>
    <col min="8456" max="8456" width="12.140625" style="62" bestFit="1" customWidth="1"/>
    <col min="8457" max="8457" width="5.7109375" style="62" customWidth="1"/>
    <col min="8458" max="8458" width="11.85546875" style="62" bestFit="1" customWidth="1"/>
    <col min="8459" max="8459" width="8" style="62" customWidth="1"/>
    <col min="8460" max="8460" width="12.5703125" style="62" customWidth="1"/>
    <col min="8461" max="8461" width="9" style="62" customWidth="1"/>
    <col min="8462" max="8462" width="11.7109375" style="62" bestFit="1" customWidth="1"/>
    <col min="8463" max="8463" width="9.42578125" style="62" customWidth="1"/>
    <col min="8464" max="8464" width="4.140625" style="62" customWidth="1"/>
    <col min="8465" max="8465" width="3.28515625" style="62" bestFit="1" customWidth="1"/>
    <col min="8466" max="8466" width="8.85546875" style="62" customWidth="1"/>
    <col min="8467" max="8467" width="10" style="62" bestFit="1" customWidth="1"/>
    <col min="8468" max="8469" width="9.42578125" style="62" customWidth="1"/>
    <col min="8470" max="8470" width="9.5703125" style="62" customWidth="1"/>
    <col min="8471" max="8471" width="9.85546875" style="62" customWidth="1"/>
    <col min="8472" max="8473" width="9.42578125" style="62" customWidth="1"/>
    <col min="8474" max="8474" width="9.85546875" style="62" customWidth="1"/>
    <col min="8475" max="8476" width="9.28515625" style="62" customWidth="1"/>
    <col min="8477" max="8477" width="9.85546875" style="62" customWidth="1"/>
    <col min="8478" max="8478" width="9.28515625" style="62" customWidth="1"/>
    <col min="8479" max="8479" width="10.42578125" style="62" customWidth="1"/>
    <col min="8480" max="8480" width="5.28515625" style="62" bestFit="1" customWidth="1"/>
    <col min="8481" max="8481" width="9.7109375" style="62" bestFit="1" customWidth="1"/>
    <col min="8482" max="8482" width="11" style="62" bestFit="1" customWidth="1"/>
    <col min="8483" max="8483" width="10.85546875" style="62" bestFit="1" customWidth="1"/>
    <col min="8484" max="8484" width="9.140625" style="62"/>
    <col min="8485" max="8485" width="3.85546875" style="62" bestFit="1" customWidth="1"/>
    <col min="8486" max="8486" width="7.28515625" style="62" bestFit="1" customWidth="1"/>
    <col min="8487" max="8489" width="9.140625" style="62"/>
    <col min="8490" max="8490" width="9.28515625" style="62" customWidth="1"/>
    <col min="8491" max="8491" width="9.28515625" style="62" bestFit="1" customWidth="1"/>
    <col min="8492" max="8704" width="9.140625" style="62"/>
    <col min="8705" max="8705" width="7.85546875" style="62" customWidth="1"/>
    <col min="8706" max="8706" width="12.140625" style="62" customWidth="1"/>
    <col min="8707" max="8707" width="6.28515625" style="62" customWidth="1"/>
    <col min="8708" max="8708" width="11.5703125" style="62" customWidth="1"/>
    <col min="8709" max="8709" width="7.85546875" style="62" customWidth="1"/>
    <col min="8710" max="8710" width="12.28515625" style="62" customWidth="1"/>
    <col min="8711" max="8711" width="5.28515625" style="62" customWidth="1"/>
    <col min="8712" max="8712" width="12.140625" style="62" bestFit="1" customWidth="1"/>
    <col min="8713" max="8713" width="5.7109375" style="62" customWidth="1"/>
    <col min="8714" max="8714" width="11.85546875" style="62" bestFit="1" customWidth="1"/>
    <col min="8715" max="8715" width="8" style="62" customWidth="1"/>
    <col min="8716" max="8716" width="12.5703125" style="62" customWidth="1"/>
    <col min="8717" max="8717" width="9" style="62" customWidth="1"/>
    <col min="8718" max="8718" width="11.7109375" style="62" bestFit="1" customWidth="1"/>
    <col min="8719" max="8719" width="9.42578125" style="62" customWidth="1"/>
    <col min="8720" max="8720" width="4.140625" style="62" customWidth="1"/>
    <col min="8721" max="8721" width="3.28515625" style="62" bestFit="1" customWidth="1"/>
    <col min="8722" max="8722" width="8.85546875" style="62" customWidth="1"/>
    <col min="8723" max="8723" width="10" style="62" bestFit="1" customWidth="1"/>
    <col min="8724" max="8725" width="9.42578125" style="62" customWidth="1"/>
    <col min="8726" max="8726" width="9.5703125" style="62" customWidth="1"/>
    <col min="8727" max="8727" width="9.85546875" style="62" customWidth="1"/>
    <col min="8728" max="8729" width="9.42578125" style="62" customWidth="1"/>
    <col min="8730" max="8730" width="9.85546875" style="62" customWidth="1"/>
    <col min="8731" max="8732" width="9.28515625" style="62" customWidth="1"/>
    <col min="8733" max="8733" width="9.85546875" style="62" customWidth="1"/>
    <col min="8734" max="8734" width="9.28515625" style="62" customWidth="1"/>
    <col min="8735" max="8735" width="10.42578125" style="62" customWidth="1"/>
    <col min="8736" max="8736" width="5.28515625" style="62" bestFit="1" customWidth="1"/>
    <col min="8737" max="8737" width="9.7109375" style="62" bestFit="1" customWidth="1"/>
    <col min="8738" max="8738" width="11" style="62" bestFit="1" customWidth="1"/>
    <col min="8739" max="8739" width="10.85546875" style="62" bestFit="1" customWidth="1"/>
    <col min="8740" max="8740" width="9.140625" style="62"/>
    <col min="8741" max="8741" width="3.85546875" style="62" bestFit="1" customWidth="1"/>
    <col min="8742" max="8742" width="7.28515625" style="62" bestFit="1" customWidth="1"/>
    <col min="8743" max="8745" width="9.140625" style="62"/>
    <col min="8746" max="8746" width="9.28515625" style="62" customWidth="1"/>
    <col min="8747" max="8747" width="9.28515625" style="62" bestFit="1" customWidth="1"/>
    <col min="8748" max="8960" width="9.140625" style="62"/>
    <col min="8961" max="8961" width="7.85546875" style="62" customWidth="1"/>
    <col min="8962" max="8962" width="12.140625" style="62" customWidth="1"/>
    <col min="8963" max="8963" width="6.28515625" style="62" customWidth="1"/>
    <col min="8964" max="8964" width="11.5703125" style="62" customWidth="1"/>
    <col min="8965" max="8965" width="7.85546875" style="62" customWidth="1"/>
    <col min="8966" max="8966" width="12.28515625" style="62" customWidth="1"/>
    <col min="8967" max="8967" width="5.28515625" style="62" customWidth="1"/>
    <col min="8968" max="8968" width="12.140625" style="62" bestFit="1" customWidth="1"/>
    <col min="8969" max="8969" width="5.7109375" style="62" customWidth="1"/>
    <col min="8970" max="8970" width="11.85546875" style="62" bestFit="1" customWidth="1"/>
    <col min="8971" max="8971" width="8" style="62" customWidth="1"/>
    <col min="8972" max="8972" width="12.5703125" style="62" customWidth="1"/>
    <col min="8973" max="8973" width="9" style="62" customWidth="1"/>
    <col min="8974" max="8974" width="11.7109375" style="62" bestFit="1" customWidth="1"/>
    <col min="8975" max="8975" width="9.42578125" style="62" customWidth="1"/>
    <col min="8976" max="8976" width="4.140625" style="62" customWidth="1"/>
    <col min="8977" max="8977" width="3.28515625" style="62" bestFit="1" customWidth="1"/>
    <col min="8978" max="8978" width="8.85546875" style="62" customWidth="1"/>
    <col min="8979" max="8979" width="10" style="62" bestFit="1" customWidth="1"/>
    <col min="8980" max="8981" width="9.42578125" style="62" customWidth="1"/>
    <col min="8982" max="8982" width="9.5703125" style="62" customWidth="1"/>
    <col min="8983" max="8983" width="9.85546875" style="62" customWidth="1"/>
    <col min="8984" max="8985" width="9.42578125" style="62" customWidth="1"/>
    <col min="8986" max="8986" width="9.85546875" style="62" customWidth="1"/>
    <col min="8987" max="8988" width="9.28515625" style="62" customWidth="1"/>
    <col min="8989" max="8989" width="9.85546875" style="62" customWidth="1"/>
    <col min="8990" max="8990" width="9.28515625" style="62" customWidth="1"/>
    <col min="8991" max="8991" width="10.42578125" style="62" customWidth="1"/>
    <col min="8992" max="8992" width="5.28515625" style="62" bestFit="1" customWidth="1"/>
    <col min="8993" max="8993" width="9.7109375" style="62" bestFit="1" customWidth="1"/>
    <col min="8994" max="8994" width="11" style="62" bestFit="1" customWidth="1"/>
    <col min="8995" max="8995" width="10.85546875" style="62" bestFit="1" customWidth="1"/>
    <col min="8996" max="8996" width="9.140625" style="62"/>
    <col min="8997" max="8997" width="3.85546875" style="62" bestFit="1" customWidth="1"/>
    <col min="8998" max="8998" width="7.28515625" style="62" bestFit="1" customWidth="1"/>
    <col min="8999" max="9001" width="9.140625" style="62"/>
    <col min="9002" max="9002" width="9.28515625" style="62" customWidth="1"/>
    <col min="9003" max="9003" width="9.28515625" style="62" bestFit="1" customWidth="1"/>
    <col min="9004" max="9216" width="9.140625" style="62"/>
    <col min="9217" max="9217" width="7.85546875" style="62" customWidth="1"/>
    <col min="9218" max="9218" width="12.140625" style="62" customWidth="1"/>
    <col min="9219" max="9219" width="6.28515625" style="62" customWidth="1"/>
    <col min="9220" max="9220" width="11.5703125" style="62" customWidth="1"/>
    <col min="9221" max="9221" width="7.85546875" style="62" customWidth="1"/>
    <col min="9222" max="9222" width="12.28515625" style="62" customWidth="1"/>
    <col min="9223" max="9223" width="5.28515625" style="62" customWidth="1"/>
    <col min="9224" max="9224" width="12.140625" style="62" bestFit="1" customWidth="1"/>
    <col min="9225" max="9225" width="5.7109375" style="62" customWidth="1"/>
    <col min="9226" max="9226" width="11.85546875" style="62" bestFit="1" customWidth="1"/>
    <col min="9227" max="9227" width="8" style="62" customWidth="1"/>
    <col min="9228" max="9228" width="12.5703125" style="62" customWidth="1"/>
    <col min="9229" max="9229" width="9" style="62" customWidth="1"/>
    <col min="9230" max="9230" width="11.7109375" style="62" bestFit="1" customWidth="1"/>
    <col min="9231" max="9231" width="9.42578125" style="62" customWidth="1"/>
    <col min="9232" max="9232" width="4.140625" style="62" customWidth="1"/>
    <col min="9233" max="9233" width="3.28515625" style="62" bestFit="1" customWidth="1"/>
    <col min="9234" max="9234" width="8.85546875" style="62" customWidth="1"/>
    <col min="9235" max="9235" width="10" style="62" bestFit="1" customWidth="1"/>
    <col min="9236" max="9237" width="9.42578125" style="62" customWidth="1"/>
    <col min="9238" max="9238" width="9.5703125" style="62" customWidth="1"/>
    <col min="9239" max="9239" width="9.85546875" style="62" customWidth="1"/>
    <col min="9240" max="9241" width="9.42578125" style="62" customWidth="1"/>
    <col min="9242" max="9242" width="9.85546875" style="62" customWidth="1"/>
    <col min="9243" max="9244" width="9.28515625" style="62" customWidth="1"/>
    <col min="9245" max="9245" width="9.85546875" style="62" customWidth="1"/>
    <col min="9246" max="9246" width="9.28515625" style="62" customWidth="1"/>
    <col min="9247" max="9247" width="10.42578125" style="62" customWidth="1"/>
    <col min="9248" max="9248" width="5.28515625" style="62" bestFit="1" customWidth="1"/>
    <col min="9249" max="9249" width="9.7109375" style="62" bestFit="1" customWidth="1"/>
    <col min="9250" max="9250" width="11" style="62" bestFit="1" customWidth="1"/>
    <col min="9251" max="9251" width="10.85546875" style="62" bestFit="1" customWidth="1"/>
    <col min="9252" max="9252" width="9.140625" style="62"/>
    <col min="9253" max="9253" width="3.85546875" style="62" bestFit="1" customWidth="1"/>
    <col min="9254" max="9254" width="7.28515625" style="62" bestFit="1" customWidth="1"/>
    <col min="9255" max="9257" width="9.140625" style="62"/>
    <col min="9258" max="9258" width="9.28515625" style="62" customWidth="1"/>
    <col min="9259" max="9259" width="9.28515625" style="62" bestFit="1" customWidth="1"/>
    <col min="9260" max="9472" width="9.140625" style="62"/>
    <col min="9473" max="9473" width="7.85546875" style="62" customWidth="1"/>
    <col min="9474" max="9474" width="12.140625" style="62" customWidth="1"/>
    <col min="9475" max="9475" width="6.28515625" style="62" customWidth="1"/>
    <col min="9476" max="9476" width="11.5703125" style="62" customWidth="1"/>
    <col min="9477" max="9477" width="7.85546875" style="62" customWidth="1"/>
    <col min="9478" max="9478" width="12.28515625" style="62" customWidth="1"/>
    <col min="9479" max="9479" width="5.28515625" style="62" customWidth="1"/>
    <col min="9480" max="9480" width="12.140625" style="62" bestFit="1" customWidth="1"/>
    <col min="9481" max="9481" width="5.7109375" style="62" customWidth="1"/>
    <col min="9482" max="9482" width="11.85546875" style="62" bestFit="1" customWidth="1"/>
    <col min="9483" max="9483" width="8" style="62" customWidth="1"/>
    <col min="9484" max="9484" width="12.5703125" style="62" customWidth="1"/>
    <col min="9485" max="9485" width="9" style="62" customWidth="1"/>
    <col min="9486" max="9486" width="11.7109375" style="62" bestFit="1" customWidth="1"/>
    <col min="9487" max="9487" width="9.42578125" style="62" customWidth="1"/>
    <col min="9488" max="9488" width="4.140625" style="62" customWidth="1"/>
    <col min="9489" max="9489" width="3.28515625" style="62" bestFit="1" customWidth="1"/>
    <col min="9490" max="9490" width="8.85546875" style="62" customWidth="1"/>
    <col min="9491" max="9491" width="10" style="62" bestFit="1" customWidth="1"/>
    <col min="9492" max="9493" width="9.42578125" style="62" customWidth="1"/>
    <col min="9494" max="9494" width="9.5703125" style="62" customWidth="1"/>
    <col min="9495" max="9495" width="9.85546875" style="62" customWidth="1"/>
    <col min="9496" max="9497" width="9.42578125" style="62" customWidth="1"/>
    <col min="9498" max="9498" width="9.85546875" style="62" customWidth="1"/>
    <col min="9499" max="9500" width="9.28515625" style="62" customWidth="1"/>
    <col min="9501" max="9501" width="9.85546875" style="62" customWidth="1"/>
    <col min="9502" max="9502" width="9.28515625" style="62" customWidth="1"/>
    <col min="9503" max="9503" width="10.42578125" style="62" customWidth="1"/>
    <col min="9504" max="9504" width="5.28515625" style="62" bestFit="1" customWidth="1"/>
    <col min="9505" max="9505" width="9.7109375" style="62" bestFit="1" customWidth="1"/>
    <col min="9506" max="9506" width="11" style="62" bestFit="1" customWidth="1"/>
    <col min="9507" max="9507" width="10.85546875" style="62" bestFit="1" customWidth="1"/>
    <col min="9508" max="9508" width="9.140625" style="62"/>
    <col min="9509" max="9509" width="3.85546875" style="62" bestFit="1" customWidth="1"/>
    <col min="9510" max="9510" width="7.28515625" style="62" bestFit="1" customWidth="1"/>
    <col min="9511" max="9513" width="9.140625" style="62"/>
    <col min="9514" max="9514" width="9.28515625" style="62" customWidth="1"/>
    <col min="9515" max="9515" width="9.28515625" style="62" bestFit="1" customWidth="1"/>
    <col min="9516" max="9728" width="9.140625" style="62"/>
    <col min="9729" max="9729" width="7.85546875" style="62" customWidth="1"/>
    <col min="9730" max="9730" width="12.140625" style="62" customWidth="1"/>
    <col min="9731" max="9731" width="6.28515625" style="62" customWidth="1"/>
    <col min="9732" max="9732" width="11.5703125" style="62" customWidth="1"/>
    <col min="9733" max="9733" width="7.85546875" style="62" customWidth="1"/>
    <col min="9734" max="9734" width="12.28515625" style="62" customWidth="1"/>
    <col min="9735" max="9735" width="5.28515625" style="62" customWidth="1"/>
    <col min="9736" max="9736" width="12.140625" style="62" bestFit="1" customWidth="1"/>
    <col min="9737" max="9737" width="5.7109375" style="62" customWidth="1"/>
    <col min="9738" max="9738" width="11.85546875" style="62" bestFit="1" customWidth="1"/>
    <col min="9739" max="9739" width="8" style="62" customWidth="1"/>
    <col min="9740" max="9740" width="12.5703125" style="62" customWidth="1"/>
    <col min="9741" max="9741" width="9" style="62" customWidth="1"/>
    <col min="9742" max="9742" width="11.7109375" style="62" bestFit="1" customWidth="1"/>
    <col min="9743" max="9743" width="9.42578125" style="62" customWidth="1"/>
    <col min="9744" max="9744" width="4.140625" style="62" customWidth="1"/>
    <col min="9745" max="9745" width="3.28515625" style="62" bestFit="1" customWidth="1"/>
    <col min="9746" max="9746" width="8.85546875" style="62" customWidth="1"/>
    <col min="9747" max="9747" width="10" style="62" bestFit="1" customWidth="1"/>
    <col min="9748" max="9749" width="9.42578125" style="62" customWidth="1"/>
    <col min="9750" max="9750" width="9.5703125" style="62" customWidth="1"/>
    <col min="9751" max="9751" width="9.85546875" style="62" customWidth="1"/>
    <col min="9752" max="9753" width="9.42578125" style="62" customWidth="1"/>
    <col min="9754" max="9754" width="9.85546875" style="62" customWidth="1"/>
    <col min="9755" max="9756" width="9.28515625" style="62" customWidth="1"/>
    <col min="9757" max="9757" width="9.85546875" style="62" customWidth="1"/>
    <col min="9758" max="9758" width="9.28515625" style="62" customWidth="1"/>
    <col min="9759" max="9759" width="10.42578125" style="62" customWidth="1"/>
    <col min="9760" max="9760" width="5.28515625" style="62" bestFit="1" customWidth="1"/>
    <col min="9761" max="9761" width="9.7109375" style="62" bestFit="1" customWidth="1"/>
    <col min="9762" max="9762" width="11" style="62" bestFit="1" customWidth="1"/>
    <col min="9763" max="9763" width="10.85546875" style="62" bestFit="1" customWidth="1"/>
    <col min="9764" max="9764" width="9.140625" style="62"/>
    <col min="9765" max="9765" width="3.85546875" style="62" bestFit="1" customWidth="1"/>
    <col min="9766" max="9766" width="7.28515625" style="62" bestFit="1" customWidth="1"/>
    <col min="9767" max="9769" width="9.140625" style="62"/>
    <col min="9770" max="9770" width="9.28515625" style="62" customWidth="1"/>
    <col min="9771" max="9771" width="9.28515625" style="62" bestFit="1" customWidth="1"/>
    <col min="9772" max="9984" width="9.140625" style="62"/>
    <col min="9985" max="9985" width="7.85546875" style="62" customWidth="1"/>
    <col min="9986" max="9986" width="12.140625" style="62" customWidth="1"/>
    <col min="9987" max="9987" width="6.28515625" style="62" customWidth="1"/>
    <col min="9988" max="9988" width="11.5703125" style="62" customWidth="1"/>
    <col min="9989" max="9989" width="7.85546875" style="62" customWidth="1"/>
    <col min="9990" max="9990" width="12.28515625" style="62" customWidth="1"/>
    <col min="9991" max="9991" width="5.28515625" style="62" customWidth="1"/>
    <col min="9992" max="9992" width="12.140625" style="62" bestFit="1" customWidth="1"/>
    <col min="9993" max="9993" width="5.7109375" style="62" customWidth="1"/>
    <col min="9994" max="9994" width="11.85546875" style="62" bestFit="1" customWidth="1"/>
    <col min="9995" max="9995" width="8" style="62" customWidth="1"/>
    <col min="9996" max="9996" width="12.5703125" style="62" customWidth="1"/>
    <col min="9997" max="9997" width="9" style="62" customWidth="1"/>
    <col min="9998" max="9998" width="11.7109375" style="62" bestFit="1" customWidth="1"/>
    <col min="9999" max="9999" width="9.42578125" style="62" customWidth="1"/>
    <col min="10000" max="10000" width="4.140625" style="62" customWidth="1"/>
    <col min="10001" max="10001" width="3.28515625" style="62" bestFit="1" customWidth="1"/>
    <col min="10002" max="10002" width="8.85546875" style="62" customWidth="1"/>
    <col min="10003" max="10003" width="10" style="62" bestFit="1" customWidth="1"/>
    <col min="10004" max="10005" width="9.42578125" style="62" customWidth="1"/>
    <col min="10006" max="10006" width="9.5703125" style="62" customWidth="1"/>
    <col min="10007" max="10007" width="9.85546875" style="62" customWidth="1"/>
    <col min="10008" max="10009" width="9.42578125" style="62" customWidth="1"/>
    <col min="10010" max="10010" width="9.85546875" style="62" customWidth="1"/>
    <col min="10011" max="10012" width="9.28515625" style="62" customWidth="1"/>
    <col min="10013" max="10013" width="9.85546875" style="62" customWidth="1"/>
    <col min="10014" max="10014" width="9.28515625" style="62" customWidth="1"/>
    <col min="10015" max="10015" width="10.42578125" style="62" customWidth="1"/>
    <col min="10016" max="10016" width="5.28515625" style="62" bestFit="1" customWidth="1"/>
    <col min="10017" max="10017" width="9.7109375" style="62" bestFit="1" customWidth="1"/>
    <col min="10018" max="10018" width="11" style="62" bestFit="1" customWidth="1"/>
    <col min="10019" max="10019" width="10.85546875" style="62" bestFit="1" customWidth="1"/>
    <col min="10020" max="10020" width="9.140625" style="62"/>
    <col min="10021" max="10021" width="3.85546875" style="62" bestFit="1" customWidth="1"/>
    <col min="10022" max="10022" width="7.28515625" style="62" bestFit="1" customWidth="1"/>
    <col min="10023" max="10025" width="9.140625" style="62"/>
    <col min="10026" max="10026" width="9.28515625" style="62" customWidth="1"/>
    <col min="10027" max="10027" width="9.28515625" style="62" bestFit="1" customWidth="1"/>
    <col min="10028" max="10240" width="9.140625" style="62"/>
    <col min="10241" max="10241" width="7.85546875" style="62" customWidth="1"/>
    <col min="10242" max="10242" width="12.140625" style="62" customWidth="1"/>
    <col min="10243" max="10243" width="6.28515625" style="62" customWidth="1"/>
    <col min="10244" max="10244" width="11.5703125" style="62" customWidth="1"/>
    <col min="10245" max="10245" width="7.85546875" style="62" customWidth="1"/>
    <col min="10246" max="10246" width="12.28515625" style="62" customWidth="1"/>
    <col min="10247" max="10247" width="5.28515625" style="62" customWidth="1"/>
    <col min="10248" max="10248" width="12.140625" style="62" bestFit="1" customWidth="1"/>
    <col min="10249" max="10249" width="5.7109375" style="62" customWidth="1"/>
    <col min="10250" max="10250" width="11.85546875" style="62" bestFit="1" customWidth="1"/>
    <col min="10251" max="10251" width="8" style="62" customWidth="1"/>
    <col min="10252" max="10252" width="12.5703125" style="62" customWidth="1"/>
    <col min="10253" max="10253" width="9" style="62" customWidth="1"/>
    <col min="10254" max="10254" width="11.7109375" style="62" bestFit="1" customWidth="1"/>
    <col min="10255" max="10255" width="9.42578125" style="62" customWidth="1"/>
    <col min="10256" max="10256" width="4.140625" style="62" customWidth="1"/>
    <col min="10257" max="10257" width="3.28515625" style="62" bestFit="1" customWidth="1"/>
    <col min="10258" max="10258" width="8.85546875" style="62" customWidth="1"/>
    <col min="10259" max="10259" width="10" style="62" bestFit="1" customWidth="1"/>
    <col min="10260" max="10261" width="9.42578125" style="62" customWidth="1"/>
    <col min="10262" max="10262" width="9.5703125" style="62" customWidth="1"/>
    <col min="10263" max="10263" width="9.85546875" style="62" customWidth="1"/>
    <col min="10264" max="10265" width="9.42578125" style="62" customWidth="1"/>
    <col min="10266" max="10266" width="9.85546875" style="62" customWidth="1"/>
    <col min="10267" max="10268" width="9.28515625" style="62" customWidth="1"/>
    <col min="10269" max="10269" width="9.85546875" style="62" customWidth="1"/>
    <col min="10270" max="10270" width="9.28515625" style="62" customWidth="1"/>
    <col min="10271" max="10271" width="10.42578125" style="62" customWidth="1"/>
    <col min="10272" max="10272" width="5.28515625" style="62" bestFit="1" customWidth="1"/>
    <col min="10273" max="10273" width="9.7109375" style="62" bestFit="1" customWidth="1"/>
    <col min="10274" max="10274" width="11" style="62" bestFit="1" customWidth="1"/>
    <col min="10275" max="10275" width="10.85546875" style="62" bestFit="1" customWidth="1"/>
    <col min="10276" max="10276" width="9.140625" style="62"/>
    <col min="10277" max="10277" width="3.85546875" style="62" bestFit="1" customWidth="1"/>
    <col min="10278" max="10278" width="7.28515625" style="62" bestFit="1" customWidth="1"/>
    <col min="10279" max="10281" width="9.140625" style="62"/>
    <col min="10282" max="10282" width="9.28515625" style="62" customWidth="1"/>
    <col min="10283" max="10283" width="9.28515625" style="62" bestFit="1" customWidth="1"/>
    <col min="10284" max="10496" width="9.140625" style="62"/>
    <col min="10497" max="10497" width="7.85546875" style="62" customWidth="1"/>
    <col min="10498" max="10498" width="12.140625" style="62" customWidth="1"/>
    <col min="10499" max="10499" width="6.28515625" style="62" customWidth="1"/>
    <col min="10500" max="10500" width="11.5703125" style="62" customWidth="1"/>
    <col min="10501" max="10501" width="7.85546875" style="62" customWidth="1"/>
    <col min="10502" max="10502" width="12.28515625" style="62" customWidth="1"/>
    <col min="10503" max="10503" width="5.28515625" style="62" customWidth="1"/>
    <col min="10504" max="10504" width="12.140625" style="62" bestFit="1" customWidth="1"/>
    <col min="10505" max="10505" width="5.7109375" style="62" customWidth="1"/>
    <col min="10506" max="10506" width="11.85546875" style="62" bestFit="1" customWidth="1"/>
    <col min="10507" max="10507" width="8" style="62" customWidth="1"/>
    <col min="10508" max="10508" width="12.5703125" style="62" customWidth="1"/>
    <col min="10509" max="10509" width="9" style="62" customWidth="1"/>
    <col min="10510" max="10510" width="11.7109375" style="62" bestFit="1" customWidth="1"/>
    <col min="10511" max="10511" width="9.42578125" style="62" customWidth="1"/>
    <col min="10512" max="10512" width="4.140625" style="62" customWidth="1"/>
    <col min="10513" max="10513" width="3.28515625" style="62" bestFit="1" customWidth="1"/>
    <col min="10514" max="10514" width="8.85546875" style="62" customWidth="1"/>
    <col min="10515" max="10515" width="10" style="62" bestFit="1" customWidth="1"/>
    <col min="10516" max="10517" width="9.42578125" style="62" customWidth="1"/>
    <col min="10518" max="10518" width="9.5703125" style="62" customWidth="1"/>
    <col min="10519" max="10519" width="9.85546875" style="62" customWidth="1"/>
    <col min="10520" max="10521" width="9.42578125" style="62" customWidth="1"/>
    <col min="10522" max="10522" width="9.85546875" style="62" customWidth="1"/>
    <col min="10523" max="10524" width="9.28515625" style="62" customWidth="1"/>
    <col min="10525" max="10525" width="9.85546875" style="62" customWidth="1"/>
    <col min="10526" max="10526" width="9.28515625" style="62" customWidth="1"/>
    <col min="10527" max="10527" width="10.42578125" style="62" customWidth="1"/>
    <col min="10528" max="10528" width="5.28515625" style="62" bestFit="1" customWidth="1"/>
    <col min="10529" max="10529" width="9.7109375" style="62" bestFit="1" customWidth="1"/>
    <col min="10530" max="10530" width="11" style="62" bestFit="1" customWidth="1"/>
    <col min="10531" max="10531" width="10.85546875" style="62" bestFit="1" customWidth="1"/>
    <col min="10532" max="10532" width="9.140625" style="62"/>
    <col min="10533" max="10533" width="3.85546875" style="62" bestFit="1" customWidth="1"/>
    <col min="10534" max="10534" width="7.28515625" style="62" bestFit="1" customWidth="1"/>
    <col min="10535" max="10537" width="9.140625" style="62"/>
    <col min="10538" max="10538" width="9.28515625" style="62" customWidth="1"/>
    <col min="10539" max="10539" width="9.28515625" style="62" bestFit="1" customWidth="1"/>
    <col min="10540" max="10752" width="9.140625" style="62"/>
    <col min="10753" max="10753" width="7.85546875" style="62" customWidth="1"/>
    <col min="10754" max="10754" width="12.140625" style="62" customWidth="1"/>
    <col min="10755" max="10755" width="6.28515625" style="62" customWidth="1"/>
    <col min="10756" max="10756" width="11.5703125" style="62" customWidth="1"/>
    <col min="10757" max="10757" width="7.85546875" style="62" customWidth="1"/>
    <col min="10758" max="10758" width="12.28515625" style="62" customWidth="1"/>
    <col min="10759" max="10759" width="5.28515625" style="62" customWidth="1"/>
    <col min="10760" max="10760" width="12.140625" style="62" bestFit="1" customWidth="1"/>
    <col min="10761" max="10761" width="5.7109375" style="62" customWidth="1"/>
    <col min="10762" max="10762" width="11.85546875" style="62" bestFit="1" customWidth="1"/>
    <col min="10763" max="10763" width="8" style="62" customWidth="1"/>
    <col min="10764" max="10764" width="12.5703125" style="62" customWidth="1"/>
    <col min="10765" max="10765" width="9" style="62" customWidth="1"/>
    <col min="10766" max="10766" width="11.7109375" style="62" bestFit="1" customWidth="1"/>
    <col min="10767" max="10767" width="9.42578125" style="62" customWidth="1"/>
    <col min="10768" max="10768" width="4.140625" style="62" customWidth="1"/>
    <col min="10769" max="10769" width="3.28515625" style="62" bestFit="1" customWidth="1"/>
    <col min="10770" max="10770" width="8.85546875" style="62" customWidth="1"/>
    <col min="10771" max="10771" width="10" style="62" bestFit="1" customWidth="1"/>
    <col min="10772" max="10773" width="9.42578125" style="62" customWidth="1"/>
    <col min="10774" max="10774" width="9.5703125" style="62" customWidth="1"/>
    <col min="10775" max="10775" width="9.85546875" style="62" customWidth="1"/>
    <col min="10776" max="10777" width="9.42578125" style="62" customWidth="1"/>
    <col min="10778" max="10778" width="9.85546875" style="62" customWidth="1"/>
    <col min="10779" max="10780" width="9.28515625" style="62" customWidth="1"/>
    <col min="10781" max="10781" width="9.85546875" style="62" customWidth="1"/>
    <col min="10782" max="10782" width="9.28515625" style="62" customWidth="1"/>
    <col min="10783" max="10783" width="10.42578125" style="62" customWidth="1"/>
    <col min="10784" max="10784" width="5.28515625" style="62" bestFit="1" customWidth="1"/>
    <col min="10785" max="10785" width="9.7109375" style="62" bestFit="1" customWidth="1"/>
    <col min="10786" max="10786" width="11" style="62" bestFit="1" customWidth="1"/>
    <col min="10787" max="10787" width="10.85546875" style="62" bestFit="1" customWidth="1"/>
    <col min="10788" max="10788" width="9.140625" style="62"/>
    <col min="10789" max="10789" width="3.85546875" style="62" bestFit="1" customWidth="1"/>
    <col min="10790" max="10790" width="7.28515625" style="62" bestFit="1" customWidth="1"/>
    <col min="10791" max="10793" width="9.140625" style="62"/>
    <col min="10794" max="10794" width="9.28515625" style="62" customWidth="1"/>
    <col min="10795" max="10795" width="9.28515625" style="62" bestFit="1" customWidth="1"/>
    <col min="10796" max="11008" width="9.140625" style="62"/>
    <col min="11009" max="11009" width="7.85546875" style="62" customWidth="1"/>
    <col min="11010" max="11010" width="12.140625" style="62" customWidth="1"/>
    <col min="11011" max="11011" width="6.28515625" style="62" customWidth="1"/>
    <col min="11012" max="11012" width="11.5703125" style="62" customWidth="1"/>
    <col min="11013" max="11013" width="7.85546875" style="62" customWidth="1"/>
    <col min="11014" max="11014" width="12.28515625" style="62" customWidth="1"/>
    <col min="11015" max="11015" width="5.28515625" style="62" customWidth="1"/>
    <col min="11016" max="11016" width="12.140625" style="62" bestFit="1" customWidth="1"/>
    <col min="11017" max="11017" width="5.7109375" style="62" customWidth="1"/>
    <col min="11018" max="11018" width="11.85546875" style="62" bestFit="1" customWidth="1"/>
    <col min="11019" max="11019" width="8" style="62" customWidth="1"/>
    <col min="11020" max="11020" width="12.5703125" style="62" customWidth="1"/>
    <col min="11021" max="11021" width="9" style="62" customWidth="1"/>
    <col min="11022" max="11022" width="11.7109375" style="62" bestFit="1" customWidth="1"/>
    <col min="11023" max="11023" width="9.42578125" style="62" customWidth="1"/>
    <col min="11024" max="11024" width="4.140625" style="62" customWidth="1"/>
    <col min="11025" max="11025" width="3.28515625" style="62" bestFit="1" customWidth="1"/>
    <col min="11026" max="11026" width="8.85546875" style="62" customWidth="1"/>
    <col min="11027" max="11027" width="10" style="62" bestFit="1" customWidth="1"/>
    <col min="11028" max="11029" width="9.42578125" style="62" customWidth="1"/>
    <col min="11030" max="11030" width="9.5703125" style="62" customWidth="1"/>
    <col min="11031" max="11031" width="9.85546875" style="62" customWidth="1"/>
    <col min="11032" max="11033" width="9.42578125" style="62" customWidth="1"/>
    <col min="11034" max="11034" width="9.85546875" style="62" customWidth="1"/>
    <col min="11035" max="11036" width="9.28515625" style="62" customWidth="1"/>
    <col min="11037" max="11037" width="9.85546875" style="62" customWidth="1"/>
    <col min="11038" max="11038" width="9.28515625" style="62" customWidth="1"/>
    <col min="11039" max="11039" width="10.42578125" style="62" customWidth="1"/>
    <col min="11040" max="11040" width="5.28515625" style="62" bestFit="1" customWidth="1"/>
    <col min="11041" max="11041" width="9.7109375" style="62" bestFit="1" customWidth="1"/>
    <col min="11042" max="11042" width="11" style="62" bestFit="1" customWidth="1"/>
    <col min="11043" max="11043" width="10.85546875" style="62" bestFit="1" customWidth="1"/>
    <col min="11044" max="11044" width="9.140625" style="62"/>
    <col min="11045" max="11045" width="3.85546875" style="62" bestFit="1" customWidth="1"/>
    <col min="11046" max="11046" width="7.28515625" style="62" bestFit="1" customWidth="1"/>
    <col min="11047" max="11049" width="9.140625" style="62"/>
    <col min="11050" max="11050" width="9.28515625" style="62" customWidth="1"/>
    <col min="11051" max="11051" width="9.28515625" style="62" bestFit="1" customWidth="1"/>
    <col min="11052" max="11264" width="9.140625" style="62"/>
    <col min="11265" max="11265" width="7.85546875" style="62" customWidth="1"/>
    <col min="11266" max="11266" width="12.140625" style="62" customWidth="1"/>
    <col min="11267" max="11267" width="6.28515625" style="62" customWidth="1"/>
    <col min="11268" max="11268" width="11.5703125" style="62" customWidth="1"/>
    <col min="11269" max="11269" width="7.85546875" style="62" customWidth="1"/>
    <col min="11270" max="11270" width="12.28515625" style="62" customWidth="1"/>
    <col min="11271" max="11271" width="5.28515625" style="62" customWidth="1"/>
    <col min="11272" max="11272" width="12.140625" style="62" bestFit="1" customWidth="1"/>
    <col min="11273" max="11273" width="5.7109375" style="62" customWidth="1"/>
    <col min="11274" max="11274" width="11.85546875" style="62" bestFit="1" customWidth="1"/>
    <col min="11275" max="11275" width="8" style="62" customWidth="1"/>
    <col min="11276" max="11276" width="12.5703125" style="62" customWidth="1"/>
    <col min="11277" max="11277" width="9" style="62" customWidth="1"/>
    <col min="11278" max="11278" width="11.7109375" style="62" bestFit="1" customWidth="1"/>
    <col min="11279" max="11279" width="9.42578125" style="62" customWidth="1"/>
    <col min="11280" max="11280" width="4.140625" style="62" customWidth="1"/>
    <col min="11281" max="11281" width="3.28515625" style="62" bestFit="1" customWidth="1"/>
    <col min="11282" max="11282" width="8.85546875" style="62" customWidth="1"/>
    <col min="11283" max="11283" width="10" style="62" bestFit="1" customWidth="1"/>
    <col min="11284" max="11285" width="9.42578125" style="62" customWidth="1"/>
    <col min="11286" max="11286" width="9.5703125" style="62" customWidth="1"/>
    <col min="11287" max="11287" width="9.85546875" style="62" customWidth="1"/>
    <col min="11288" max="11289" width="9.42578125" style="62" customWidth="1"/>
    <col min="11290" max="11290" width="9.85546875" style="62" customWidth="1"/>
    <col min="11291" max="11292" width="9.28515625" style="62" customWidth="1"/>
    <col min="11293" max="11293" width="9.85546875" style="62" customWidth="1"/>
    <col min="11294" max="11294" width="9.28515625" style="62" customWidth="1"/>
    <col min="11295" max="11295" width="10.42578125" style="62" customWidth="1"/>
    <col min="11296" max="11296" width="5.28515625" style="62" bestFit="1" customWidth="1"/>
    <col min="11297" max="11297" width="9.7109375" style="62" bestFit="1" customWidth="1"/>
    <col min="11298" max="11298" width="11" style="62" bestFit="1" customWidth="1"/>
    <col min="11299" max="11299" width="10.85546875" style="62" bestFit="1" customWidth="1"/>
    <col min="11300" max="11300" width="9.140625" style="62"/>
    <col min="11301" max="11301" width="3.85546875" style="62" bestFit="1" customWidth="1"/>
    <col min="11302" max="11302" width="7.28515625" style="62" bestFit="1" customWidth="1"/>
    <col min="11303" max="11305" width="9.140625" style="62"/>
    <col min="11306" max="11306" width="9.28515625" style="62" customWidth="1"/>
    <col min="11307" max="11307" width="9.28515625" style="62" bestFit="1" customWidth="1"/>
    <col min="11308" max="11520" width="9.140625" style="62"/>
    <col min="11521" max="11521" width="7.85546875" style="62" customWidth="1"/>
    <col min="11522" max="11522" width="12.140625" style="62" customWidth="1"/>
    <col min="11523" max="11523" width="6.28515625" style="62" customWidth="1"/>
    <col min="11524" max="11524" width="11.5703125" style="62" customWidth="1"/>
    <col min="11525" max="11525" width="7.85546875" style="62" customWidth="1"/>
    <col min="11526" max="11526" width="12.28515625" style="62" customWidth="1"/>
    <col min="11527" max="11527" width="5.28515625" style="62" customWidth="1"/>
    <col min="11528" max="11528" width="12.140625" style="62" bestFit="1" customWidth="1"/>
    <col min="11529" max="11529" width="5.7109375" style="62" customWidth="1"/>
    <col min="11530" max="11530" width="11.85546875" style="62" bestFit="1" customWidth="1"/>
    <col min="11531" max="11531" width="8" style="62" customWidth="1"/>
    <col min="11532" max="11532" width="12.5703125" style="62" customWidth="1"/>
    <col min="11533" max="11533" width="9" style="62" customWidth="1"/>
    <col min="11534" max="11534" width="11.7109375" style="62" bestFit="1" customWidth="1"/>
    <col min="11535" max="11535" width="9.42578125" style="62" customWidth="1"/>
    <col min="11536" max="11536" width="4.140625" style="62" customWidth="1"/>
    <col min="11537" max="11537" width="3.28515625" style="62" bestFit="1" customWidth="1"/>
    <col min="11538" max="11538" width="8.85546875" style="62" customWidth="1"/>
    <col min="11539" max="11539" width="10" style="62" bestFit="1" customWidth="1"/>
    <col min="11540" max="11541" width="9.42578125" style="62" customWidth="1"/>
    <col min="11542" max="11542" width="9.5703125" style="62" customWidth="1"/>
    <col min="11543" max="11543" width="9.85546875" style="62" customWidth="1"/>
    <col min="11544" max="11545" width="9.42578125" style="62" customWidth="1"/>
    <col min="11546" max="11546" width="9.85546875" style="62" customWidth="1"/>
    <col min="11547" max="11548" width="9.28515625" style="62" customWidth="1"/>
    <col min="11549" max="11549" width="9.85546875" style="62" customWidth="1"/>
    <col min="11550" max="11550" width="9.28515625" style="62" customWidth="1"/>
    <col min="11551" max="11551" width="10.42578125" style="62" customWidth="1"/>
    <col min="11552" max="11552" width="5.28515625" style="62" bestFit="1" customWidth="1"/>
    <col min="11553" max="11553" width="9.7109375" style="62" bestFit="1" customWidth="1"/>
    <col min="11554" max="11554" width="11" style="62" bestFit="1" customWidth="1"/>
    <col min="11555" max="11555" width="10.85546875" style="62" bestFit="1" customWidth="1"/>
    <col min="11556" max="11556" width="9.140625" style="62"/>
    <col min="11557" max="11557" width="3.85546875" style="62" bestFit="1" customWidth="1"/>
    <col min="11558" max="11558" width="7.28515625" style="62" bestFit="1" customWidth="1"/>
    <col min="11559" max="11561" width="9.140625" style="62"/>
    <col min="11562" max="11562" width="9.28515625" style="62" customWidth="1"/>
    <col min="11563" max="11563" width="9.28515625" style="62" bestFit="1" customWidth="1"/>
    <col min="11564" max="11776" width="9.140625" style="62"/>
    <col min="11777" max="11777" width="7.85546875" style="62" customWidth="1"/>
    <col min="11778" max="11778" width="12.140625" style="62" customWidth="1"/>
    <col min="11779" max="11779" width="6.28515625" style="62" customWidth="1"/>
    <col min="11780" max="11780" width="11.5703125" style="62" customWidth="1"/>
    <col min="11781" max="11781" width="7.85546875" style="62" customWidth="1"/>
    <col min="11782" max="11782" width="12.28515625" style="62" customWidth="1"/>
    <col min="11783" max="11783" width="5.28515625" style="62" customWidth="1"/>
    <col min="11784" max="11784" width="12.140625" style="62" bestFit="1" customWidth="1"/>
    <col min="11785" max="11785" width="5.7109375" style="62" customWidth="1"/>
    <col min="11786" max="11786" width="11.85546875" style="62" bestFit="1" customWidth="1"/>
    <col min="11787" max="11787" width="8" style="62" customWidth="1"/>
    <col min="11788" max="11788" width="12.5703125" style="62" customWidth="1"/>
    <col min="11789" max="11789" width="9" style="62" customWidth="1"/>
    <col min="11790" max="11790" width="11.7109375" style="62" bestFit="1" customWidth="1"/>
    <col min="11791" max="11791" width="9.42578125" style="62" customWidth="1"/>
    <col min="11792" max="11792" width="4.140625" style="62" customWidth="1"/>
    <col min="11793" max="11793" width="3.28515625" style="62" bestFit="1" customWidth="1"/>
    <col min="11794" max="11794" width="8.85546875" style="62" customWidth="1"/>
    <col min="11795" max="11795" width="10" style="62" bestFit="1" customWidth="1"/>
    <col min="11796" max="11797" width="9.42578125" style="62" customWidth="1"/>
    <col min="11798" max="11798" width="9.5703125" style="62" customWidth="1"/>
    <col min="11799" max="11799" width="9.85546875" style="62" customWidth="1"/>
    <col min="11800" max="11801" width="9.42578125" style="62" customWidth="1"/>
    <col min="11802" max="11802" width="9.85546875" style="62" customWidth="1"/>
    <col min="11803" max="11804" width="9.28515625" style="62" customWidth="1"/>
    <col min="11805" max="11805" width="9.85546875" style="62" customWidth="1"/>
    <col min="11806" max="11806" width="9.28515625" style="62" customWidth="1"/>
    <col min="11807" max="11807" width="10.42578125" style="62" customWidth="1"/>
    <col min="11808" max="11808" width="5.28515625" style="62" bestFit="1" customWidth="1"/>
    <col min="11809" max="11809" width="9.7109375" style="62" bestFit="1" customWidth="1"/>
    <col min="11810" max="11810" width="11" style="62" bestFit="1" customWidth="1"/>
    <col min="11811" max="11811" width="10.85546875" style="62" bestFit="1" customWidth="1"/>
    <col min="11812" max="11812" width="9.140625" style="62"/>
    <col min="11813" max="11813" width="3.85546875" style="62" bestFit="1" customWidth="1"/>
    <col min="11814" max="11814" width="7.28515625" style="62" bestFit="1" customWidth="1"/>
    <col min="11815" max="11817" width="9.140625" style="62"/>
    <col min="11818" max="11818" width="9.28515625" style="62" customWidth="1"/>
    <col min="11819" max="11819" width="9.28515625" style="62" bestFit="1" customWidth="1"/>
    <col min="11820" max="12032" width="9.140625" style="62"/>
    <col min="12033" max="12033" width="7.85546875" style="62" customWidth="1"/>
    <col min="12034" max="12034" width="12.140625" style="62" customWidth="1"/>
    <col min="12035" max="12035" width="6.28515625" style="62" customWidth="1"/>
    <col min="12036" max="12036" width="11.5703125" style="62" customWidth="1"/>
    <col min="12037" max="12037" width="7.85546875" style="62" customWidth="1"/>
    <col min="12038" max="12038" width="12.28515625" style="62" customWidth="1"/>
    <col min="12039" max="12039" width="5.28515625" style="62" customWidth="1"/>
    <col min="12040" max="12040" width="12.140625" style="62" bestFit="1" customWidth="1"/>
    <col min="12041" max="12041" width="5.7109375" style="62" customWidth="1"/>
    <col min="12042" max="12042" width="11.85546875" style="62" bestFit="1" customWidth="1"/>
    <col min="12043" max="12043" width="8" style="62" customWidth="1"/>
    <col min="12044" max="12044" width="12.5703125" style="62" customWidth="1"/>
    <col min="12045" max="12045" width="9" style="62" customWidth="1"/>
    <col min="12046" max="12046" width="11.7109375" style="62" bestFit="1" customWidth="1"/>
    <col min="12047" max="12047" width="9.42578125" style="62" customWidth="1"/>
    <col min="12048" max="12048" width="4.140625" style="62" customWidth="1"/>
    <col min="12049" max="12049" width="3.28515625" style="62" bestFit="1" customWidth="1"/>
    <col min="12050" max="12050" width="8.85546875" style="62" customWidth="1"/>
    <col min="12051" max="12051" width="10" style="62" bestFit="1" customWidth="1"/>
    <col min="12052" max="12053" width="9.42578125" style="62" customWidth="1"/>
    <col min="12054" max="12054" width="9.5703125" style="62" customWidth="1"/>
    <col min="12055" max="12055" width="9.85546875" style="62" customWidth="1"/>
    <col min="12056" max="12057" width="9.42578125" style="62" customWidth="1"/>
    <col min="12058" max="12058" width="9.85546875" style="62" customWidth="1"/>
    <col min="12059" max="12060" width="9.28515625" style="62" customWidth="1"/>
    <col min="12061" max="12061" width="9.85546875" style="62" customWidth="1"/>
    <col min="12062" max="12062" width="9.28515625" style="62" customWidth="1"/>
    <col min="12063" max="12063" width="10.42578125" style="62" customWidth="1"/>
    <col min="12064" max="12064" width="5.28515625" style="62" bestFit="1" customWidth="1"/>
    <col min="12065" max="12065" width="9.7109375" style="62" bestFit="1" customWidth="1"/>
    <col min="12066" max="12066" width="11" style="62" bestFit="1" customWidth="1"/>
    <col min="12067" max="12067" width="10.85546875" style="62" bestFit="1" customWidth="1"/>
    <col min="12068" max="12068" width="9.140625" style="62"/>
    <col min="12069" max="12069" width="3.85546875" style="62" bestFit="1" customWidth="1"/>
    <col min="12070" max="12070" width="7.28515625" style="62" bestFit="1" customWidth="1"/>
    <col min="12071" max="12073" width="9.140625" style="62"/>
    <col min="12074" max="12074" width="9.28515625" style="62" customWidth="1"/>
    <col min="12075" max="12075" width="9.28515625" style="62" bestFit="1" customWidth="1"/>
    <col min="12076" max="12288" width="9.140625" style="62"/>
    <col min="12289" max="12289" width="7.85546875" style="62" customWidth="1"/>
    <col min="12290" max="12290" width="12.140625" style="62" customWidth="1"/>
    <col min="12291" max="12291" width="6.28515625" style="62" customWidth="1"/>
    <col min="12292" max="12292" width="11.5703125" style="62" customWidth="1"/>
    <col min="12293" max="12293" width="7.85546875" style="62" customWidth="1"/>
    <col min="12294" max="12294" width="12.28515625" style="62" customWidth="1"/>
    <col min="12295" max="12295" width="5.28515625" style="62" customWidth="1"/>
    <col min="12296" max="12296" width="12.140625" style="62" bestFit="1" customWidth="1"/>
    <col min="12297" max="12297" width="5.7109375" style="62" customWidth="1"/>
    <col min="12298" max="12298" width="11.85546875" style="62" bestFit="1" customWidth="1"/>
    <col min="12299" max="12299" width="8" style="62" customWidth="1"/>
    <col min="12300" max="12300" width="12.5703125" style="62" customWidth="1"/>
    <col min="12301" max="12301" width="9" style="62" customWidth="1"/>
    <col min="12302" max="12302" width="11.7109375" style="62" bestFit="1" customWidth="1"/>
    <col min="12303" max="12303" width="9.42578125" style="62" customWidth="1"/>
    <col min="12304" max="12304" width="4.140625" style="62" customWidth="1"/>
    <col min="12305" max="12305" width="3.28515625" style="62" bestFit="1" customWidth="1"/>
    <col min="12306" max="12306" width="8.85546875" style="62" customWidth="1"/>
    <col min="12307" max="12307" width="10" style="62" bestFit="1" customWidth="1"/>
    <col min="12308" max="12309" width="9.42578125" style="62" customWidth="1"/>
    <col min="12310" max="12310" width="9.5703125" style="62" customWidth="1"/>
    <col min="12311" max="12311" width="9.85546875" style="62" customWidth="1"/>
    <col min="12312" max="12313" width="9.42578125" style="62" customWidth="1"/>
    <col min="12314" max="12314" width="9.85546875" style="62" customWidth="1"/>
    <col min="12315" max="12316" width="9.28515625" style="62" customWidth="1"/>
    <col min="12317" max="12317" width="9.85546875" style="62" customWidth="1"/>
    <col min="12318" max="12318" width="9.28515625" style="62" customWidth="1"/>
    <col min="12319" max="12319" width="10.42578125" style="62" customWidth="1"/>
    <col min="12320" max="12320" width="5.28515625" style="62" bestFit="1" customWidth="1"/>
    <col min="12321" max="12321" width="9.7109375" style="62" bestFit="1" customWidth="1"/>
    <col min="12322" max="12322" width="11" style="62" bestFit="1" customWidth="1"/>
    <col min="12323" max="12323" width="10.85546875" style="62" bestFit="1" customWidth="1"/>
    <col min="12324" max="12324" width="9.140625" style="62"/>
    <col min="12325" max="12325" width="3.85546875" style="62" bestFit="1" customWidth="1"/>
    <col min="12326" max="12326" width="7.28515625" style="62" bestFit="1" customWidth="1"/>
    <col min="12327" max="12329" width="9.140625" style="62"/>
    <col min="12330" max="12330" width="9.28515625" style="62" customWidth="1"/>
    <col min="12331" max="12331" width="9.28515625" style="62" bestFit="1" customWidth="1"/>
    <col min="12332" max="12544" width="9.140625" style="62"/>
    <col min="12545" max="12545" width="7.85546875" style="62" customWidth="1"/>
    <col min="12546" max="12546" width="12.140625" style="62" customWidth="1"/>
    <col min="12547" max="12547" width="6.28515625" style="62" customWidth="1"/>
    <col min="12548" max="12548" width="11.5703125" style="62" customWidth="1"/>
    <col min="12549" max="12549" width="7.85546875" style="62" customWidth="1"/>
    <col min="12550" max="12550" width="12.28515625" style="62" customWidth="1"/>
    <col min="12551" max="12551" width="5.28515625" style="62" customWidth="1"/>
    <col min="12552" max="12552" width="12.140625" style="62" bestFit="1" customWidth="1"/>
    <col min="12553" max="12553" width="5.7109375" style="62" customWidth="1"/>
    <col min="12554" max="12554" width="11.85546875" style="62" bestFit="1" customWidth="1"/>
    <col min="12555" max="12555" width="8" style="62" customWidth="1"/>
    <col min="12556" max="12556" width="12.5703125" style="62" customWidth="1"/>
    <col min="12557" max="12557" width="9" style="62" customWidth="1"/>
    <col min="12558" max="12558" width="11.7109375" style="62" bestFit="1" customWidth="1"/>
    <col min="12559" max="12559" width="9.42578125" style="62" customWidth="1"/>
    <col min="12560" max="12560" width="4.140625" style="62" customWidth="1"/>
    <col min="12561" max="12561" width="3.28515625" style="62" bestFit="1" customWidth="1"/>
    <col min="12562" max="12562" width="8.85546875" style="62" customWidth="1"/>
    <col min="12563" max="12563" width="10" style="62" bestFit="1" customWidth="1"/>
    <col min="12564" max="12565" width="9.42578125" style="62" customWidth="1"/>
    <col min="12566" max="12566" width="9.5703125" style="62" customWidth="1"/>
    <col min="12567" max="12567" width="9.85546875" style="62" customWidth="1"/>
    <col min="12568" max="12569" width="9.42578125" style="62" customWidth="1"/>
    <col min="12570" max="12570" width="9.85546875" style="62" customWidth="1"/>
    <col min="12571" max="12572" width="9.28515625" style="62" customWidth="1"/>
    <col min="12573" max="12573" width="9.85546875" style="62" customWidth="1"/>
    <col min="12574" max="12574" width="9.28515625" style="62" customWidth="1"/>
    <col min="12575" max="12575" width="10.42578125" style="62" customWidth="1"/>
    <col min="12576" max="12576" width="5.28515625" style="62" bestFit="1" customWidth="1"/>
    <col min="12577" max="12577" width="9.7109375" style="62" bestFit="1" customWidth="1"/>
    <col min="12578" max="12578" width="11" style="62" bestFit="1" customWidth="1"/>
    <col min="12579" max="12579" width="10.85546875" style="62" bestFit="1" customWidth="1"/>
    <col min="12580" max="12580" width="9.140625" style="62"/>
    <col min="12581" max="12581" width="3.85546875" style="62" bestFit="1" customWidth="1"/>
    <col min="12582" max="12582" width="7.28515625" style="62" bestFit="1" customWidth="1"/>
    <col min="12583" max="12585" width="9.140625" style="62"/>
    <col min="12586" max="12586" width="9.28515625" style="62" customWidth="1"/>
    <col min="12587" max="12587" width="9.28515625" style="62" bestFit="1" customWidth="1"/>
    <col min="12588" max="12800" width="9.140625" style="62"/>
    <col min="12801" max="12801" width="7.85546875" style="62" customWidth="1"/>
    <col min="12802" max="12802" width="12.140625" style="62" customWidth="1"/>
    <col min="12803" max="12803" width="6.28515625" style="62" customWidth="1"/>
    <col min="12804" max="12804" width="11.5703125" style="62" customWidth="1"/>
    <col min="12805" max="12805" width="7.85546875" style="62" customWidth="1"/>
    <col min="12806" max="12806" width="12.28515625" style="62" customWidth="1"/>
    <col min="12807" max="12807" width="5.28515625" style="62" customWidth="1"/>
    <col min="12808" max="12808" width="12.140625" style="62" bestFit="1" customWidth="1"/>
    <col min="12809" max="12809" width="5.7109375" style="62" customWidth="1"/>
    <col min="12810" max="12810" width="11.85546875" style="62" bestFit="1" customWidth="1"/>
    <col min="12811" max="12811" width="8" style="62" customWidth="1"/>
    <col min="12812" max="12812" width="12.5703125" style="62" customWidth="1"/>
    <col min="12813" max="12813" width="9" style="62" customWidth="1"/>
    <col min="12814" max="12814" width="11.7109375" style="62" bestFit="1" customWidth="1"/>
    <col min="12815" max="12815" width="9.42578125" style="62" customWidth="1"/>
    <col min="12816" max="12816" width="4.140625" style="62" customWidth="1"/>
    <col min="12817" max="12817" width="3.28515625" style="62" bestFit="1" customWidth="1"/>
    <col min="12818" max="12818" width="8.85546875" style="62" customWidth="1"/>
    <col min="12819" max="12819" width="10" style="62" bestFit="1" customWidth="1"/>
    <col min="12820" max="12821" width="9.42578125" style="62" customWidth="1"/>
    <col min="12822" max="12822" width="9.5703125" style="62" customWidth="1"/>
    <col min="12823" max="12823" width="9.85546875" style="62" customWidth="1"/>
    <col min="12824" max="12825" width="9.42578125" style="62" customWidth="1"/>
    <col min="12826" max="12826" width="9.85546875" style="62" customWidth="1"/>
    <col min="12827" max="12828" width="9.28515625" style="62" customWidth="1"/>
    <col min="12829" max="12829" width="9.85546875" style="62" customWidth="1"/>
    <col min="12830" max="12830" width="9.28515625" style="62" customWidth="1"/>
    <col min="12831" max="12831" width="10.42578125" style="62" customWidth="1"/>
    <col min="12832" max="12832" width="5.28515625" style="62" bestFit="1" customWidth="1"/>
    <col min="12833" max="12833" width="9.7109375" style="62" bestFit="1" customWidth="1"/>
    <col min="12834" max="12834" width="11" style="62" bestFit="1" customWidth="1"/>
    <col min="12835" max="12835" width="10.85546875" style="62" bestFit="1" customWidth="1"/>
    <col min="12836" max="12836" width="9.140625" style="62"/>
    <col min="12837" max="12837" width="3.85546875" style="62" bestFit="1" customWidth="1"/>
    <col min="12838" max="12838" width="7.28515625" style="62" bestFit="1" customWidth="1"/>
    <col min="12839" max="12841" width="9.140625" style="62"/>
    <col min="12842" max="12842" width="9.28515625" style="62" customWidth="1"/>
    <col min="12843" max="12843" width="9.28515625" style="62" bestFit="1" customWidth="1"/>
    <col min="12844" max="13056" width="9.140625" style="62"/>
    <col min="13057" max="13057" width="7.85546875" style="62" customWidth="1"/>
    <col min="13058" max="13058" width="12.140625" style="62" customWidth="1"/>
    <col min="13059" max="13059" width="6.28515625" style="62" customWidth="1"/>
    <col min="13060" max="13060" width="11.5703125" style="62" customWidth="1"/>
    <col min="13061" max="13061" width="7.85546875" style="62" customWidth="1"/>
    <col min="13062" max="13062" width="12.28515625" style="62" customWidth="1"/>
    <col min="13063" max="13063" width="5.28515625" style="62" customWidth="1"/>
    <col min="13064" max="13064" width="12.140625" style="62" bestFit="1" customWidth="1"/>
    <col min="13065" max="13065" width="5.7109375" style="62" customWidth="1"/>
    <col min="13066" max="13066" width="11.85546875" style="62" bestFit="1" customWidth="1"/>
    <col min="13067" max="13067" width="8" style="62" customWidth="1"/>
    <col min="13068" max="13068" width="12.5703125" style="62" customWidth="1"/>
    <col min="13069" max="13069" width="9" style="62" customWidth="1"/>
    <col min="13070" max="13070" width="11.7109375" style="62" bestFit="1" customWidth="1"/>
    <col min="13071" max="13071" width="9.42578125" style="62" customWidth="1"/>
    <col min="13072" max="13072" width="4.140625" style="62" customWidth="1"/>
    <col min="13073" max="13073" width="3.28515625" style="62" bestFit="1" customWidth="1"/>
    <col min="13074" max="13074" width="8.85546875" style="62" customWidth="1"/>
    <col min="13075" max="13075" width="10" style="62" bestFit="1" customWidth="1"/>
    <col min="13076" max="13077" width="9.42578125" style="62" customWidth="1"/>
    <col min="13078" max="13078" width="9.5703125" style="62" customWidth="1"/>
    <col min="13079" max="13079" width="9.85546875" style="62" customWidth="1"/>
    <col min="13080" max="13081" width="9.42578125" style="62" customWidth="1"/>
    <col min="13082" max="13082" width="9.85546875" style="62" customWidth="1"/>
    <col min="13083" max="13084" width="9.28515625" style="62" customWidth="1"/>
    <col min="13085" max="13085" width="9.85546875" style="62" customWidth="1"/>
    <col min="13086" max="13086" width="9.28515625" style="62" customWidth="1"/>
    <col min="13087" max="13087" width="10.42578125" style="62" customWidth="1"/>
    <col min="13088" max="13088" width="5.28515625" style="62" bestFit="1" customWidth="1"/>
    <col min="13089" max="13089" width="9.7109375" style="62" bestFit="1" customWidth="1"/>
    <col min="13090" max="13090" width="11" style="62" bestFit="1" customWidth="1"/>
    <col min="13091" max="13091" width="10.85546875" style="62" bestFit="1" customWidth="1"/>
    <col min="13092" max="13092" width="9.140625" style="62"/>
    <col min="13093" max="13093" width="3.85546875" style="62" bestFit="1" customWidth="1"/>
    <col min="13094" max="13094" width="7.28515625" style="62" bestFit="1" customWidth="1"/>
    <col min="13095" max="13097" width="9.140625" style="62"/>
    <col min="13098" max="13098" width="9.28515625" style="62" customWidth="1"/>
    <col min="13099" max="13099" width="9.28515625" style="62" bestFit="1" customWidth="1"/>
    <col min="13100" max="13312" width="9.140625" style="62"/>
    <col min="13313" max="13313" width="7.85546875" style="62" customWidth="1"/>
    <col min="13314" max="13314" width="12.140625" style="62" customWidth="1"/>
    <col min="13315" max="13315" width="6.28515625" style="62" customWidth="1"/>
    <col min="13316" max="13316" width="11.5703125" style="62" customWidth="1"/>
    <col min="13317" max="13317" width="7.85546875" style="62" customWidth="1"/>
    <col min="13318" max="13318" width="12.28515625" style="62" customWidth="1"/>
    <col min="13319" max="13319" width="5.28515625" style="62" customWidth="1"/>
    <col min="13320" max="13320" width="12.140625" style="62" bestFit="1" customWidth="1"/>
    <col min="13321" max="13321" width="5.7109375" style="62" customWidth="1"/>
    <col min="13322" max="13322" width="11.85546875" style="62" bestFit="1" customWidth="1"/>
    <col min="13323" max="13323" width="8" style="62" customWidth="1"/>
    <col min="13324" max="13324" width="12.5703125" style="62" customWidth="1"/>
    <col min="13325" max="13325" width="9" style="62" customWidth="1"/>
    <col min="13326" max="13326" width="11.7109375" style="62" bestFit="1" customWidth="1"/>
    <col min="13327" max="13327" width="9.42578125" style="62" customWidth="1"/>
    <col min="13328" max="13328" width="4.140625" style="62" customWidth="1"/>
    <col min="13329" max="13329" width="3.28515625" style="62" bestFit="1" customWidth="1"/>
    <col min="13330" max="13330" width="8.85546875" style="62" customWidth="1"/>
    <col min="13331" max="13331" width="10" style="62" bestFit="1" customWidth="1"/>
    <col min="13332" max="13333" width="9.42578125" style="62" customWidth="1"/>
    <col min="13334" max="13334" width="9.5703125" style="62" customWidth="1"/>
    <col min="13335" max="13335" width="9.85546875" style="62" customWidth="1"/>
    <col min="13336" max="13337" width="9.42578125" style="62" customWidth="1"/>
    <col min="13338" max="13338" width="9.85546875" style="62" customWidth="1"/>
    <col min="13339" max="13340" width="9.28515625" style="62" customWidth="1"/>
    <col min="13341" max="13341" width="9.85546875" style="62" customWidth="1"/>
    <col min="13342" max="13342" width="9.28515625" style="62" customWidth="1"/>
    <col min="13343" max="13343" width="10.42578125" style="62" customWidth="1"/>
    <col min="13344" max="13344" width="5.28515625" style="62" bestFit="1" customWidth="1"/>
    <col min="13345" max="13345" width="9.7109375" style="62" bestFit="1" customWidth="1"/>
    <col min="13346" max="13346" width="11" style="62" bestFit="1" customWidth="1"/>
    <col min="13347" max="13347" width="10.85546875" style="62" bestFit="1" customWidth="1"/>
    <col min="13348" max="13348" width="9.140625" style="62"/>
    <col min="13349" max="13349" width="3.85546875" style="62" bestFit="1" customWidth="1"/>
    <col min="13350" max="13350" width="7.28515625" style="62" bestFit="1" customWidth="1"/>
    <col min="13351" max="13353" width="9.140625" style="62"/>
    <col min="13354" max="13354" width="9.28515625" style="62" customWidth="1"/>
    <col min="13355" max="13355" width="9.28515625" style="62" bestFit="1" customWidth="1"/>
    <col min="13356" max="13568" width="9.140625" style="62"/>
    <col min="13569" max="13569" width="7.85546875" style="62" customWidth="1"/>
    <col min="13570" max="13570" width="12.140625" style="62" customWidth="1"/>
    <col min="13571" max="13571" width="6.28515625" style="62" customWidth="1"/>
    <col min="13572" max="13572" width="11.5703125" style="62" customWidth="1"/>
    <col min="13573" max="13573" width="7.85546875" style="62" customWidth="1"/>
    <col min="13574" max="13574" width="12.28515625" style="62" customWidth="1"/>
    <col min="13575" max="13575" width="5.28515625" style="62" customWidth="1"/>
    <col min="13576" max="13576" width="12.140625" style="62" bestFit="1" customWidth="1"/>
    <col min="13577" max="13577" width="5.7109375" style="62" customWidth="1"/>
    <col min="13578" max="13578" width="11.85546875" style="62" bestFit="1" customWidth="1"/>
    <col min="13579" max="13579" width="8" style="62" customWidth="1"/>
    <col min="13580" max="13580" width="12.5703125" style="62" customWidth="1"/>
    <col min="13581" max="13581" width="9" style="62" customWidth="1"/>
    <col min="13582" max="13582" width="11.7109375" style="62" bestFit="1" customWidth="1"/>
    <col min="13583" max="13583" width="9.42578125" style="62" customWidth="1"/>
    <col min="13584" max="13584" width="4.140625" style="62" customWidth="1"/>
    <col min="13585" max="13585" width="3.28515625" style="62" bestFit="1" customWidth="1"/>
    <col min="13586" max="13586" width="8.85546875" style="62" customWidth="1"/>
    <col min="13587" max="13587" width="10" style="62" bestFit="1" customWidth="1"/>
    <col min="13588" max="13589" width="9.42578125" style="62" customWidth="1"/>
    <col min="13590" max="13590" width="9.5703125" style="62" customWidth="1"/>
    <col min="13591" max="13591" width="9.85546875" style="62" customWidth="1"/>
    <col min="13592" max="13593" width="9.42578125" style="62" customWidth="1"/>
    <col min="13594" max="13594" width="9.85546875" style="62" customWidth="1"/>
    <col min="13595" max="13596" width="9.28515625" style="62" customWidth="1"/>
    <col min="13597" max="13597" width="9.85546875" style="62" customWidth="1"/>
    <col min="13598" max="13598" width="9.28515625" style="62" customWidth="1"/>
    <col min="13599" max="13599" width="10.42578125" style="62" customWidth="1"/>
    <col min="13600" max="13600" width="5.28515625" style="62" bestFit="1" customWidth="1"/>
    <col min="13601" max="13601" width="9.7109375" style="62" bestFit="1" customWidth="1"/>
    <col min="13602" max="13602" width="11" style="62" bestFit="1" customWidth="1"/>
    <col min="13603" max="13603" width="10.85546875" style="62" bestFit="1" customWidth="1"/>
    <col min="13604" max="13604" width="9.140625" style="62"/>
    <col min="13605" max="13605" width="3.85546875" style="62" bestFit="1" customWidth="1"/>
    <col min="13606" max="13606" width="7.28515625" style="62" bestFit="1" customWidth="1"/>
    <col min="13607" max="13609" width="9.140625" style="62"/>
    <col min="13610" max="13610" width="9.28515625" style="62" customWidth="1"/>
    <col min="13611" max="13611" width="9.28515625" style="62" bestFit="1" customWidth="1"/>
    <col min="13612" max="13824" width="9.140625" style="62"/>
    <col min="13825" max="13825" width="7.85546875" style="62" customWidth="1"/>
    <col min="13826" max="13826" width="12.140625" style="62" customWidth="1"/>
    <col min="13827" max="13827" width="6.28515625" style="62" customWidth="1"/>
    <col min="13828" max="13828" width="11.5703125" style="62" customWidth="1"/>
    <col min="13829" max="13829" width="7.85546875" style="62" customWidth="1"/>
    <col min="13830" max="13830" width="12.28515625" style="62" customWidth="1"/>
    <col min="13831" max="13831" width="5.28515625" style="62" customWidth="1"/>
    <col min="13832" max="13832" width="12.140625" style="62" bestFit="1" customWidth="1"/>
    <col min="13833" max="13833" width="5.7109375" style="62" customWidth="1"/>
    <col min="13834" max="13834" width="11.85546875" style="62" bestFit="1" customWidth="1"/>
    <col min="13835" max="13835" width="8" style="62" customWidth="1"/>
    <col min="13836" max="13836" width="12.5703125" style="62" customWidth="1"/>
    <col min="13837" max="13837" width="9" style="62" customWidth="1"/>
    <col min="13838" max="13838" width="11.7109375" style="62" bestFit="1" customWidth="1"/>
    <col min="13839" max="13839" width="9.42578125" style="62" customWidth="1"/>
    <col min="13840" max="13840" width="4.140625" style="62" customWidth="1"/>
    <col min="13841" max="13841" width="3.28515625" style="62" bestFit="1" customWidth="1"/>
    <col min="13842" max="13842" width="8.85546875" style="62" customWidth="1"/>
    <col min="13843" max="13843" width="10" style="62" bestFit="1" customWidth="1"/>
    <col min="13844" max="13845" width="9.42578125" style="62" customWidth="1"/>
    <col min="13846" max="13846" width="9.5703125" style="62" customWidth="1"/>
    <col min="13847" max="13847" width="9.85546875" style="62" customWidth="1"/>
    <col min="13848" max="13849" width="9.42578125" style="62" customWidth="1"/>
    <col min="13850" max="13850" width="9.85546875" style="62" customWidth="1"/>
    <col min="13851" max="13852" width="9.28515625" style="62" customWidth="1"/>
    <col min="13853" max="13853" width="9.85546875" style="62" customWidth="1"/>
    <col min="13854" max="13854" width="9.28515625" style="62" customWidth="1"/>
    <col min="13855" max="13855" width="10.42578125" style="62" customWidth="1"/>
    <col min="13856" max="13856" width="5.28515625" style="62" bestFit="1" customWidth="1"/>
    <col min="13857" max="13857" width="9.7109375" style="62" bestFit="1" customWidth="1"/>
    <col min="13858" max="13858" width="11" style="62" bestFit="1" customWidth="1"/>
    <col min="13859" max="13859" width="10.85546875" style="62" bestFit="1" customWidth="1"/>
    <col min="13860" max="13860" width="9.140625" style="62"/>
    <col min="13861" max="13861" width="3.85546875" style="62" bestFit="1" customWidth="1"/>
    <col min="13862" max="13862" width="7.28515625" style="62" bestFit="1" customWidth="1"/>
    <col min="13863" max="13865" width="9.140625" style="62"/>
    <col min="13866" max="13866" width="9.28515625" style="62" customWidth="1"/>
    <col min="13867" max="13867" width="9.28515625" style="62" bestFit="1" customWidth="1"/>
    <col min="13868" max="14080" width="9.140625" style="62"/>
    <col min="14081" max="14081" width="7.85546875" style="62" customWidth="1"/>
    <col min="14082" max="14082" width="12.140625" style="62" customWidth="1"/>
    <col min="14083" max="14083" width="6.28515625" style="62" customWidth="1"/>
    <col min="14084" max="14084" width="11.5703125" style="62" customWidth="1"/>
    <col min="14085" max="14085" width="7.85546875" style="62" customWidth="1"/>
    <col min="14086" max="14086" width="12.28515625" style="62" customWidth="1"/>
    <col min="14087" max="14087" width="5.28515625" style="62" customWidth="1"/>
    <col min="14088" max="14088" width="12.140625" style="62" bestFit="1" customWidth="1"/>
    <col min="14089" max="14089" width="5.7109375" style="62" customWidth="1"/>
    <col min="14090" max="14090" width="11.85546875" style="62" bestFit="1" customWidth="1"/>
    <col min="14091" max="14091" width="8" style="62" customWidth="1"/>
    <col min="14092" max="14092" width="12.5703125" style="62" customWidth="1"/>
    <col min="14093" max="14093" width="9" style="62" customWidth="1"/>
    <col min="14094" max="14094" width="11.7109375" style="62" bestFit="1" customWidth="1"/>
    <col min="14095" max="14095" width="9.42578125" style="62" customWidth="1"/>
    <col min="14096" max="14096" width="4.140625" style="62" customWidth="1"/>
    <col min="14097" max="14097" width="3.28515625" style="62" bestFit="1" customWidth="1"/>
    <col min="14098" max="14098" width="8.85546875" style="62" customWidth="1"/>
    <col min="14099" max="14099" width="10" style="62" bestFit="1" customWidth="1"/>
    <col min="14100" max="14101" width="9.42578125" style="62" customWidth="1"/>
    <col min="14102" max="14102" width="9.5703125" style="62" customWidth="1"/>
    <col min="14103" max="14103" width="9.85546875" style="62" customWidth="1"/>
    <col min="14104" max="14105" width="9.42578125" style="62" customWidth="1"/>
    <col min="14106" max="14106" width="9.85546875" style="62" customWidth="1"/>
    <col min="14107" max="14108" width="9.28515625" style="62" customWidth="1"/>
    <col min="14109" max="14109" width="9.85546875" style="62" customWidth="1"/>
    <col min="14110" max="14110" width="9.28515625" style="62" customWidth="1"/>
    <col min="14111" max="14111" width="10.42578125" style="62" customWidth="1"/>
    <col min="14112" max="14112" width="5.28515625" style="62" bestFit="1" customWidth="1"/>
    <col min="14113" max="14113" width="9.7109375" style="62" bestFit="1" customWidth="1"/>
    <col min="14114" max="14114" width="11" style="62" bestFit="1" customWidth="1"/>
    <col min="14115" max="14115" width="10.85546875" style="62" bestFit="1" customWidth="1"/>
    <col min="14116" max="14116" width="9.140625" style="62"/>
    <col min="14117" max="14117" width="3.85546875" style="62" bestFit="1" customWidth="1"/>
    <col min="14118" max="14118" width="7.28515625" style="62" bestFit="1" customWidth="1"/>
    <col min="14119" max="14121" width="9.140625" style="62"/>
    <col min="14122" max="14122" width="9.28515625" style="62" customWidth="1"/>
    <col min="14123" max="14123" width="9.28515625" style="62" bestFit="1" customWidth="1"/>
    <col min="14124" max="14336" width="9.140625" style="62"/>
    <col min="14337" max="14337" width="7.85546875" style="62" customWidth="1"/>
    <col min="14338" max="14338" width="12.140625" style="62" customWidth="1"/>
    <col min="14339" max="14339" width="6.28515625" style="62" customWidth="1"/>
    <col min="14340" max="14340" width="11.5703125" style="62" customWidth="1"/>
    <col min="14341" max="14341" width="7.85546875" style="62" customWidth="1"/>
    <col min="14342" max="14342" width="12.28515625" style="62" customWidth="1"/>
    <col min="14343" max="14343" width="5.28515625" style="62" customWidth="1"/>
    <col min="14344" max="14344" width="12.140625" style="62" bestFit="1" customWidth="1"/>
    <col min="14345" max="14345" width="5.7109375" style="62" customWidth="1"/>
    <col min="14346" max="14346" width="11.85546875" style="62" bestFit="1" customWidth="1"/>
    <col min="14347" max="14347" width="8" style="62" customWidth="1"/>
    <col min="14348" max="14348" width="12.5703125" style="62" customWidth="1"/>
    <col min="14349" max="14349" width="9" style="62" customWidth="1"/>
    <col min="14350" max="14350" width="11.7109375" style="62" bestFit="1" customWidth="1"/>
    <col min="14351" max="14351" width="9.42578125" style="62" customWidth="1"/>
    <col min="14352" max="14352" width="4.140625" style="62" customWidth="1"/>
    <col min="14353" max="14353" width="3.28515625" style="62" bestFit="1" customWidth="1"/>
    <col min="14354" max="14354" width="8.85546875" style="62" customWidth="1"/>
    <col min="14355" max="14355" width="10" style="62" bestFit="1" customWidth="1"/>
    <col min="14356" max="14357" width="9.42578125" style="62" customWidth="1"/>
    <col min="14358" max="14358" width="9.5703125" style="62" customWidth="1"/>
    <col min="14359" max="14359" width="9.85546875" style="62" customWidth="1"/>
    <col min="14360" max="14361" width="9.42578125" style="62" customWidth="1"/>
    <col min="14362" max="14362" width="9.85546875" style="62" customWidth="1"/>
    <col min="14363" max="14364" width="9.28515625" style="62" customWidth="1"/>
    <col min="14365" max="14365" width="9.85546875" style="62" customWidth="1"/>
    <col min="14366" max="14366" width="9.28515625" style="62" customWidth="1"/>
    <col min="14367" max="14367" width="10.42578125" style="62" customWidth="1"/>
    <col min="14368" max="14368" width="5.28515625" style="62" bestFit="1" customWidth="1"/>
    <col min="14369" max="14369" width="9.7109375" style="62" bestFit="1" customWidth="1"/>
    <col min="14370" max="14370" width="11" style="62" bestFit="1" customWidth="1"/>
    <col min="14371" max="14371" width="10.85546875" style="62" bestFit="1" customWidth="1"/>
    <col min="14372" max="14372" width="9.140625" style="62"/>
    <col min="14373" max="14373" width="3.85546875" style="62" bestFit="1" customWidth="1"/>
    <col min="14374" max="14374" width="7.28515625" style="62" bestFit="1" customWidth="1"/>
    <col min="14375" max="14377" width="9.140625" style="62"/>
    <col min="14378" max="14378" width="9.28515625" style="62" customWidth="1"/>
    <col min="14379" max="14379" width="9.28515625" style="62" bestFit="1" customWidth="1"/>
    <col min="14380" max="14592" width="9.140625" style="62"/>
    <col min="14593" max="14593" width="7.85546875" style="62" customWidth="1"/>
    <col min="14594" max="14594" width="12.140625" style="62" customWidth="1"/>
    <col min="14595" max="14595" width="6.28515625" style="62" customWidth="1"/>
    <col min="14596" max="14596" width="11.5703125" style="62" customWidth="1"/>
    <col min="14597" max="14597" width="7.85546875" style="62" customWidth="1"/>
    <col min="14598" max="14598" width="12.28515625" style="62" customWidth="1"/>
    <col min="14599" max="14599" width="5.28515625" style="62" customWidth="1"/>
    <col min="14600" max="14600" width="12.140625" style="62" bestFit="1" customWidth="1"/>
    <col min="14601" max="14601" width="5.7109375" style="62" customWidth="1"/>
    <col min="14602" max="14602" width="11.85546875" style="62" bestFit="1" customWidth="1"/>
    <col min="14603" max="14603" width="8" style="62" customWidth="1"/>
    <col min="14604" max="14604" width="12.5703125" style="62" customWidth="1"/>
    <col min="14605" max="14605" width="9" style="62" customWidth="1"/>
    <col min="14606" max="14606" width="11.7109375" style="62" bestFit="1" customWidth="1"/>
    <col min="14607" max="14607" width="9.42578125" style="62" customWidth="1"/>
    <col min="14608" max="14608" width="4.140625" style="62" customWidth="1"/>
    <col min="14609" max="14609" width="3.28515625" style="62" bestFit="1" customWidth="1"/>
    <col min="14610" max="14610" width="8.85546875" style="62" customWidth="1"/>
    <col min="14611" max="14611" width="10" style="62" bestFit="1" customWidth="1"/>
    <col min="14612" max="14613" width="9.42578125" style="62" customWidth="1"/>
    <col min="14614" max="14614" width="9.5703125" style="62" customWidth="1"/>
    <col min="14615" max="14615" width="9.85546875" style="62" customWidth="1"/>
    <col min="14616" max="14617" width="9.42578125" style="62" customWidth="1"/>
    <col min="14618" max="14618" width="9.85546875" style="62" customWidth="1"/>
    <col min="14619" max="14620" width="9.28515625" style="62" customWidth="1"/>
    <col min="14621" max="14621" width="9.85546875" style="62" customWidth="1"/>
    <col min="14622" max="14622" width="9.28515625" style="62" customWidth="1"/>
    <col min="14623" max="14623" width="10.42578125" style="62" customWidth="1"/>
    <col min="14624" max="14624" width="5.28515625" style="62" bestFit="1" customWidth="1"/>
    <col min="14625" max="14625" width="9.7109375" style="62" bestFit="1" customWidth="1"/>
    <col min="14626" max="14626" width="11" style="62" bestFit="1" customWidth="1"/>
    <col min="14627" max="14627" width="10.85546875" style="62" bestFit="1" customWidth="1"/>
    <col min="14628" max="14628" width="9.140625" style="62"/>
    <col min="14629" max="14629" width="3.85546875" style="62" bestFit="1" customWidth="1"/>
    <col min="14630" max="14630" width="7.28515625" style="62" bestFit="1" customWidth="1"/>
    <col min="14631" max="14633" width="9.140625" style="62"/>
    <col min="14634" max="14634" width="9.28515625" style="62" customWidth="1"/>
    <col min="14635" max="14635" width="9.28515625" style="62" bestFit="1" customWidth="1"/>
    <col min="14636" max="14848" width="9.140625" style="62"/>
    <col min="14849" max="14849" width="7.85546875" style="62" customWidth="1"/>
    <col min="14850" max="14850" width="12.140625" style="62" customWidth="1"/>
    <col min="14851" max="14851" width="6.28515625" style="62" customWidth="1"/>
    <col min="14852" max="14852" width="11.5703125" style="62" customWidth="1"/>
    <col min="14853" max="14853" width="7.85546875" style="62" customWidth="1"/>
    <col min="14854" max="14854" width="12.28515625" style="62" customWidth="1"/>
    <col min="14855" max="14855" width="5.28515625" style="62" customWidth="1"/>
    <col min="14856" max="14856" width="12.140625" style="62" bestFit="1" customWidth="1"/>
    <col min="14857" max="14857" width="5.7109375" style="62" customWidth="1"/>
    <col min="14858" max="14858" width="11.85546875" style="62" bestFit="1" customWidth="1"/>
    <col min="14859" max="14859" width="8" style="62" customWidth="1"/>
    <col min="14860" max="14860" width="12.5703125" style="62" customWidth="1"/>
    <col min="14861" max="14861" width="9" style="62" customWidth="1"/>
    <col min="14862" max="14862" width="11.7109375" style="62" bestFit="1" customWidth="1"/>
    <col min="14863" max="14863" width="9.42578125" style="62" customWidth="1"/>
    <col min="14864" max="14864" width="4.140625" style="62" customWidth="1"/>
    <col min="14865" max="14865" width="3.28515625" style="62" bestFit="1" customWidth="1"/>
    <col min="14866" max="14866" width="8.85546875" style="62" customWidth="1"/>
    <col min="14867" max="14867" width="10" style="62" bestFit="1" customWidth="1"/>
    <col min="14868" max="14869" width="9.42578125" style="62" customWidth="1"/>
    <col min="14870" max="14870" width="9.5703125" style="62" customWidth="1"/>
    <col min="14871" max="14871" width="9.85546875" style="62" customWidth="1"/>
    <col min="14872" max="14873" width="9.42578125" style="62" customWidth="1"/>
    <col min="14874" max="14874" width="9.85546875" style="62" customWidth="1"/>
    <col min="14875" max="14876" width="9.28515625" style="62" customWidth="1"/>
    <col min="14877" max="14877" width="9.85546875" style="62" customWidth="1"/>
    <col min="14878" max="14878" width="9.28515625" style="62" customWidth="1"/>
    <col min="14879" max="14879" width="10.42578125" style="62" customWidth="1"/>
    <col min="14880" max="14880" width="5.28515625" style="62" bestFit="1" customWidth="1"/>
    <col min="14881" max="14881" width="9.7109375" style="62" bestFit="1" customWidth="1"/>
    <col min="14882" max="14882" width="11" style="62" bestFit="1" customWidth="1"/>
    <col min="14883" max="14883" width="10.85546875" style="62" bestFit="1" customWidth="1"/>
    <col min="14884" max="14884" width="9.140625" style="62"/>
    <col min="14885" max="14885" width="3.85546875" style="62" bestFit="1" customWidth="1"/>
    <col min="14886" max="14886" width="7.28515625" style="62" bestFit="1" customWidth="1"/>
    <col min="14887" max="14889" width="9.140625" style="62"/>
    <col min="14890" max="14890" width="9.28515625" style="62" customWidth="1"/>
    <col min="14891" max="14891" width="9.28515625" style="62" bestFit="1" customWidth="1"/>
    <col min="14892" max="15104" width="9.140625" style="62"/>
    <col min="15105" max="15105" width="7.85546875" style="62" customWidth="1"/>
    <col min="15106" max="15106" width="12.140625" style="62" customWidth="1"/>
    <col min="15107" max="15107" width="6.28515625" style="62" customWidth="1"/>
    <col min="15108" max="15108" width="11.5703125" style="62" customWidth="1"/>
    <col min="15109" max="15109" width="7.85546875" style="62" customWidth="1"/>
    <col min="15110" max="15110" width="12.28515625" style="62" customWidth="1"/>
    <col min="15111" max="15111" width="5.28515625" style="62" customWidth="1"/>
    <col min="15112" max="15112" width="12.140625" style="62" bestFit="1" customWidth="1"/>
    <col min="15113" max="15113" width="5.7109375" style="62" customWidth="1"/>
    <col min="15114" max="15114" width="11.85546875" style="62" bestFit="1" customWidth="1"/>
    <col min="15115" max="15115" width="8" style="62" customWidth="1"/>
    <col min="15116" max="15116" width="12.5703125" style="62" customWidth="1"/>
    <col min="15117" max="15117" width="9" style="62" customWidth="1"/>
    <col min="15118" max="15118" width="11.7109375" style="62" bestFit="1" customWidth="1"/>
    <col min="15119" max="15119" width="9.42578125" style="62" customWidth="1"/>
    <col min="15120" max="15120" width="4.140625" style="62" customWidth="1"/>
    <col min="15121" max="15121" width="3.28515625" style="62" bestFit="1" customWidth="1"/>
    <col min="15122" max="15122" width="8.85546875" style="62" customWidth="1"/>
    <col min="15123" max="15123" width="10" style="62" bestFit="1" customWidth="1"/>
    <col min="15124" max="15125" width="9.42578125" style="62" customWidth="1"/>
    <col min="15126" max="15126" width="9.5703125" style="62" customWidth="1"/>
    <col min="15127" max="15127" width="9.85546875" style="62" customWidth="1"/>
    <col min="15128" max="15129" width="9.42578125" style="62" customWidth="1"/>
    <col min="15130" max="15130" width="9.85546875" style="62" customWidth="1"/>
    <col min="15131" max="15132" width="9.28515625" style="62" customWidth="1"/>
    <col min="15133" max="15133" width="9.85546875" style="62" customWidth="1"/>
    <col min="15134" max="15134" width="9.28515625" style="62" customWidth="1"/>
    <col min="15135" max="15135" width="10.42578125" style="62" customWidth="1"/>
    <col min="15136" max="15136" width="5.28515625" style="62" bestFit="1" customWidth="1"/>
    <col min="15137" max="15137" width="9.7109375" style="62" bestFit="1" customWidth="1"/>
    <col min="15138" max="15138" width="11" style="62" bestFit="1" customWidth="1"/>
    <col min="15139" max="15139" width="10.85546875" style="62" bestFit="1" customWidth="1"/>
    <col min="15140" max="15140" width="9.140625" style="62"/>
    <col min="15141" max="15141" width="3.85546875" style="62" bestFit="1" customWidth="1"/>
    <col min="15142" max="15142" width="7.28515625" style="62" bestFit="1" customWidth="1"/>
    <col min="15143" max="15145" width="9.140625" style="62"/>
    <col min="15146" max="15146" width="9.28515625" style="62" customWidth="1"/>
    <col min="15147" max="15147" width="9.28515625" style="62" bestFit="1" customWidth="1"/>
    <col min="15148" max="15360" width="9.140625" style="62"/>
    <col min="15361" max="15361" width="7.85546875" style="62" customWidth="1"/>
    <col min="15362" max="15362" width="12.140625" style="62" customWidth="1"/>
    <col min="15363" max="15363" width="6.28515625" style="62" customWidth="1"/>
    <col min="15364" max="15364" width="11.5703125" style="62" customWidth="1"/>
    <col min="15365" max="15365" width="7.85546875" style="62" customWidth="1"/>
    <col min="15366" max="15366" width="12.28515625" style="62" customWidth="1"/>
    <col min="15367" max="15367" width="5.28515625" style="62" customWidth="1"/>
    <col min="15368" max="15368" width="12.140625" style="62" bestFit="1" customWidth="1"/>
    <col min="15369" max="15369" width="5.7109375" style="62" customWidth="1"/>
    <col min="15370" max="15370" width="11.85546875" style="62" bestFit="1" customWidth="1"/>
    <col min="15371" max="15371" width="8" style="62" customWidth="1"/>
    <col min="15372" max="15372" width="12.5703125" style="62" customWidth="1"/>
    <col min="15373" max="15373" width="9" style="62" customWidth="1"/>
    <col min="15374" max="15374" width="11.7109375" style="62" bestFit="1" customWidth="1"/>
    <col min="15375" max="15375" width="9.42578125" style="62" customWidth="1"/>
    <col min="15376" max="15376" width="4.140625" style="62" customWidth="1"/>
    <col min="15377" max="15377" width="3.28515625" style="62" bestFit="1" customWidth="1"/>
    <col min="15378" max="15378" width="8.85546875" style="62" customWidth="1"/>
    <col min="15379" max="15379" width="10" style="62" bestFit="1" customWidth="1"/>
    <col min="15380" max="15381" width="9.42578125" style="62" customWidth="1"/>
    <col min="15382" max="15382" width="9.5703125" style="62" customWidth="1"/>
    <col min="15383" max="15383" width="9.85546875" style="62" customWidth="1"/>
    <col min="15384" max="15385" width="9.42578125" style="62" customWidth="1"/>
    <col min="15386" max="15386" width="9.85546875" style="62" customWidth="1"/>
    <col min="15387" max="15388" width="9.28515625" style="62" customWidth="1"/>
    <col min="15389" max="15389" width="9.85546875" style="62" customWidth="1"/>
    <col min="15390" max="15390" width="9.28515625" style="62" customWidth="1"/>
    <col min="15391" max="15391" width="10.42578125" style="62" customWidth="1"/>
    <col min="15392" max="15392" width="5.28515625" style="62" bestFit="1" customWidth="1"/>
    <col min="15393" max="15393" width="9.7109375" style="62" bestFit="1" customWidth="1"/>
    <col min="15394" max="15394" width="11" style="62" bestFit="1" customWidth="1"/>
    <col min="15395" max="15395" width="10.85546875" style="62" bestFit="1" customWidth="1"/>
    <col min="15396" max="15396" width="9.140625" style="62"/>
    <col min="15397" max="15397" width="3.85546875" style="62" bestFit="1" customWidth="1"/>
    <col min="15398" max="15398" width="7.28515625" style="62" bestFit="1" customWidth="1"/>
    <col min="15399" max="15401" width="9.140625" style="62"/>
    <col min="15402" max="15402" width="9.28515625" style="62" customWidth="1"/>
    <col min="15403" max="15403" width="9.28515625" style="62" bestFit="1" customWidth="1"/>
    <col min="15404" max="15616" width="9.140625" style="62"/>
    <col min="15617" max="15617" width="7.85546875" style="62" customWidth="1"/>
    <col min="15618" max="15618" width="12.140625" style="62" customWidth="1"/>
    <col min="15619" max="15619" width="6.28515625" style="62" customWidth="1"/>
    <col min="15620" max="15620" width="11.5703125" style="62" customWidth="1"/>
    <col min="15621" max="15621" width="7.85546875" style="62" customWidth="1"/>
    <col min="15622" max="15622" width="12.28515625" style="62" customWidth="1"/>
    <col min="15623" max="15623" width="5.28515625" style="62" customWidth="1"/>
    <col min="15624" max="15624" width="12.140625" style="62" bestFit="1" customWidth="1"/>
    <col min="15625" max="15625" width="5.7109375" style="62" customWidth="1"/>
    <col min="15626" max="15626" width="11.85546875" style="62" bestFit="1" customWidth="1"/>
    <col min="15627" max="15627" width="8" style="62" customWidth="1"/>
    <col min="15628" max="15628" width="12.5703125" style="62" customWidth="1"/>
    <col min="15629" max="15629" width="9" style="62" customWidth="1"/>
    <col min="15630" max="15630" width="11.7109375" style="62" bestFit="1" customWidth="1"/>
    <col min="15631" max="15631" width="9.42578125" style="62" customWidth="1"/>
    <col min="15632" max="15632" width="4.140625" style="62" customWidth="1"/>
    <col min="15633" max="15633" width="3.28515625" style="62" bestFit="1" customWidth="1"/>
    <col min="15634" max="15634" width="8.85546875" style="62" customWidth="1"/>
    <col min="15635" max="15635" width="10" style="62" bestFit="1" customWidth="1"/>
    <col min="15636" max="15637" width="9.42578125" style="62" customWidth="1"/>
    <col min="15638" max="15638" width="9.5703125" style="62" customWidth="1"/>
    <col min="15639" max="15639" width="9.85546875" style="62" customWidth="1"/>
    <col min="15640" max="15641" width="9.42578125" style="62" customWidth="1"/>
    <col min="15642" max="15642" width="9.85546875" style="62" customWidth="1"/>
    <col min="15643" max="15644" width="9.28515625" style="62" customWidth="1"/>
    <col min="15645" max="15645" width="9.85546875" style="62" customWidth="1"/>
    <col min="15646" max="15646" width="9.28515625" style="62" customWidth="1"/>
    <col min="15647" max="15647" width="10.42578125" style="62" customWidth="1"/>
    <col min="15648" max="15648" width="5.28515625" style="62" bestFit="1" customWidth="1"/>
    <col min="15649" max="15649" width="9.7109375" style="62" bestFit="1" customWidth="1"/>
    <col min="15650" max="15650" width="11" style="62" bestFit="1" customWidth="1"/>
    <col min="15651" max="15651" width="10.85546875" style="62" bestFit="1" customWidth="1"/>
    <col min="15652" max="15652" width="9.140625" style="62"/>
    <col min="15653" max="15653" width="3.85546875" style="62" bestFit="1" customWidth="1"/>
    <col min="15654" max="15654" width="7.28515625" style="62" bestFit="1" customWidth="1"/>
    <col min="15655" max="15657" width="9.140625" style="62"/>
    <col min="15658" max="15658" width="9.28515625" style="62" customWidth="1"/>
    <col min="15659" max="15659" width="9.28515625" style="62" bestFit="1" customWidth="1"/>
    <col min="15660" max="15872" width="9.140625" style="62"/>
    <col min="15873" max="15873" width="7.85546875" style="62" customWidth="1"/>
    <col min="15874" max="15874" width="12.140625" style="62" customWidth="1"/>
    <col min="15875" max="15875" width="6.28515625" style="62" customWidth="1"/>
    <col min="15876" max="15876" width="11.5703125" style="62" customWidth="1"/>
    <col min="15877" max="15877" width="7.85546875" style="62" customWidth="1"/>
    <col min="15878" max="15878" width="12.28515625" style="62" customWidth="1"/>
    <col min="15879" max="15879" width="5.28515625" style="62" customWidth="1"/>
    <col min="15880" max="15880" width="12.140625" style="62" bestFit="1" customWidth="1"/>
    <col min="15881" max="15881" width="5.7109375" style="62" customWidth="1"/>
    <col min="15882" max="15882" width="11.85546875" style="62" bestFit="1" customWidth="1"/>
    <col min="15883" max="15883" width="8" style="62" customWidth="1"/>
    <col min="15884" max="15884" width="12.5703125" style="62" customWidth="1"/>
    <col min="15885" max="15885" width="9" style="62" customWidth="1"/>
    <col min="15886" max="15886" width="11.7109375" style="62" bestFit="1" customWidth="1"/>
    <col min="15887" max="15887" width="9.42578125" style="62" customWidth="1"/>
    <col min="15888" max="15888" width="4.140625" style="62" customWidth="1"/>
    <col min="15889" max="15889" width="3.28515625" style="62" bestFit="1" customWidth="1"/>
    <col min="15890" max="15890" width="8.85546875" style="62" customWidth="1"/>
    <col min="15891" max="15891" width="10" style="62" bestFit="1" customWidth="1"/>
    <col min="15892" max="15893" width="9.42578125" style="62" customWidth="1"/>
    <col min="15894" max="15894" width="9.5703125" style="62" customWidth="1"/>
    <col min="15895" max="15895" width="9.85546875" style="62" customWidth="1"/>
    <col min="15896" max="15897" width="9.42578125" style="62" customWidth="1"/>
    <col min="15898" max="15898" width="9.85546875" style="62" customWidth="1"/>
    <col min="15899" max="15900" width="9.28515625" style="62" customWidth="1"/>
    <col min="15901" max="15901" width="9.85546875" style="62" customWidth="1"/>
    <col min="15902" max="15902" width="9.28515625" style="62" customWidth="1"/>
    <col min="15903" max="15903" width="10.42578125" style="62" customWidth="1"/>
    <col min="15904" max="15904" width="5.28515625" style="62" bestFit="1" customWidth="1"/>
    <col min="15905" max="15905" width="9.7109375" style="62" bestFit="1" customWidth="1"/>
    <col min="15906" max="15906" width="11" style="62" bestFit="1" customWidth="1"/>
    <col min="15907" max="15907" width="10.85546875" style="62" bestFit="1" customWidth="1"/>
    <col min="15908" max="15908" width="9.140625" style="62"/>
    <col min="15909" max="15909" width="3.85546875" style="62" bestFit="1" customWidth="1"/>
    <col min="15910" max="15910" width="7.28515625" style="62" bestFit="1" customWidth="1"/>
    <col min="15911" max="15913" width="9.140625" style="62"/>
    <col min="15914" max="15914" width="9.28515625" style="62" customWidth="1"/>
    <col min="15915" max="15915" width="9.28515625" style="62" bestFit="1" customWidth="1"/>
    <col min="15916" max="16128" width="9.140625" style="62"/>
    <col min="16129" max="16129" width="7.85546875" style="62" customWidth="1"/>
    <col min="16130" max="16130" width="12.140625" style="62" customWidth="1"/>
    <col min="16131" max="16131" width="6.28515625" style="62" customWidth="1"/>
    <col min="16132" max="16132" width="11.5703125" style="62" customWidth="1"/>
    <col min="16133" max="16133" width="7.85546875" style="62" customWidth="1"/>
    <col min="16134" max="16134" width="12.28515625" style="62" customWidth="1"/>
    <col min="16135" max="16135" width="5.28515625" style="62" customWidth="1"/>
    <col min="16136" max="16136" width="12.140625" style="62" bestFit="1" customWidth="1"/>
    <col min="16137" max="16137" width="5.7109375" style="62" customWidth="1"/>
    <col min="16138" max="16138" width="11.85546875" style="62" bestFit="1" customWidth="1"/>
    <col min="16139" max="16139" width="8" style="62" customWidth="1"/>
    <col min="16140" max="16140" width="12.5703125" style="62" customWidth="1"/>
    <col min="16141" max="16141" width="9" style="62" customWidth="1"/>
    <col min="16142" max="16142" width="11.7109375" style="62" bestFit="1" customWidth="1"/>
    <col min="16143" max="16143" width="9.42578125" style="62" customWidth="1"/>
    <col min="16144" max="16144" width="4.140625" style="62" customWidth="1"/>
    <col min="16145" max="16145" width="3.28515625" style="62" bestFit="1" customWidth="1"/>
    <col min="16146" max="16146" width="8.85546875" style="62" customWidth="1"/>
    <col min="16147" max="16147" width="10" style="62" bestFit="1" customWidth="1"/>
    <col min="16148" max="16149" width="9.42578125" style="62" customWidth="1"/>
    <col min="16150" max="16150" width="9.5703125" style="62" customWidth="1"/>
    <col min="16151" max="16151" width="9.85546875" style="62" customWidth="1"/>
    <col min="16152" max="16153" width="9.42578125" style="62" customWidth="1"/>
    <col min="16154" max="16154" width="9.85546875" style="62" customWidth="1"/>
    <col min="16155" max="16156" width="9.28515625" style="62" customWidth="1"/>
    <col min="16157" max="16157" width="9.85546875" style="62" customWidth="1"/>
    <col min="16158" max="16158" width="9.28515625" style="62" customWidth="1"/>
    <col min="16159" max="16159" width="10.42578125" style="62" customWidth="1"/>
    <col min="16160" max="16160" width="5.28515625" style="62" bestFit="1" customWidth="1"/>
    <col min="16161" max="16161" width="9.7109375" style="62" bestFit="1" customWidth="1"/>
    <col min="16162" max="16162" width="11" style="62" bestFit="1" customWidth="1"/>
    <col min="16163" max="16163" width="10.85546875" style="62" bestFit="1" customWidth="1"/>
    <col min="16164" max="16164" width="9.140625" style="62"/>
    <col min="16165" max="16165" width="3.85546875" style="62" bestFit="1" customWidth="1"/>
    <col min="16166" max="16166" width="7.28515625" style="62" bestFit="1" customWidth="1"/>
    <col min="16167" max="16169" width="9.140625" style="62"/>
    <col min="16170" max="16170" width="9.28515625" style="62" customWidth="1"/>
    <col min="16171" max="16171" width="9.28515625" style="62" bestFit="1" customWidth="1"/>
    <col min="16172" max="16384" width="9.140625" style="62"/>
  </cols>
  <sheetData>
    <row r="1" spans="1:33">
      <c r="A1" s="224"/>
      <c r="B1" s="224"/>
      <c r="C1" s="224"/>
      <c r="D1" s="224"/>
      <c r="E1" s="225" t="s">
        <v>293</v>
      </c>
      <c r="F1" s="224"/>
      <c r="G1" s="224"/>
      <c r="H1" s="224"/>
      <c r="I1" s="224"/>
      <c r="J1" s="224"/>
      <c r="K1" s="224"/>
      <c r="L1" s="224"/>
      <c r="M1" s="224"/>
      <c r="N1" s="224"/>
      <c r="O1" s="224"/>
      <c r="U1" s="125" t="s">
        <v>294</v>
      </c>
    </row>
    <row r="2" spans="1:33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U2" s="125" t="s">
        <v>295</v>
      </c>
    </row>
    <row r="3" spans="1:33">
      <c r="A3" s="226" t="s">
        <v>296</v>
      </c>
      <c r="B3" s="801" t="s">
        <v>297</v>
      </c>
      <c r="C3" s="801"/>
      <c r="D3" s="801"/>
      <c r="E3" s="801"/>
      <c r="F3" s="801"/>
      <c r="G3" s="801"/>
      <c r="H3" s="801"/>
      <c r="I3" s="801"/>
      <c r="J3" s="801"/>
      <c r="K3" s="801"/>
      <c r="L3" s="801" t="s">
        <v>298</v>
      </c>
      <c r="M3" s="801"/>
      <c r="N3" s="802" t="s">
        <v>299</v>
      </c>
      <c r="O3" s="803"/>
      <c r="P3" s="227"/>
      <c r="Q3" s="113" t="s">
        <v>148</v>
      </c>
      <c r="R3" s="228" t="s">
        <v>149</v>
      </c>
      <c r="S3" s="113" t="s">
        <v>300</v>
      </c>
      <c r="T3" s="113" t="s">
        <v>301</v>
      </c>
      <c r="U3" s="113" t="s">
        <v>302</v>
      </c>
      <c r="V3" s="113" t="s">
        <v>303</v>
      </c>
      <c r="W3" s="113" t="s">
        <v>304</v>
      </c>
      <c r="X3" s="113" t="s">
        <v>305</v>
      </c>
      <c r="Y3" s="113" t="s">
        <v>306</v>
      </c>
      <c r="Z3" s="113" t="s">
        <v>307</v>
      </c>
      <c r="AA3" s="113" t="s">
        <v>308</v>
      </c>
      <c r="AB3" s="113" t="s">
        <v>309</v>
      </c>
      <c r="AC3" s="113" t="s">
        <v>310</v>
      </c>
      <c r="AD3" s="113" t="s">
        <v>311</v>
      </c>
      <c r="AE3" s="113" t="s">
        <v>312</v>
      </c>
    </row>
    <row r="4" spans="1:33" s="105" customFormat="1">
      <c r="A4" s="229" t="s">
        <v>313</v>
      </c>
      <c r="B4" s="229">
        <v>2016</v>
      </c>
      <c r="C4" s="230" t="s">
        <v>314</v>
      </c>
      <c r="D4" s="229">
        <v>2017</v>
      </c>
      <c r="E4" s="229"/>
      <c r="F4" s="229">
        <v>2018</v>
      </c>
      <c r="G4" s="230" t="s">
        <v>314</v>
      </c>
      <c r="H4" s="229">
        <v>2019</v>
      </c>
      <c r="I4" s="230" t="s">
        <v>314</v>
      </c>
      <c r="J4" s="229">
        <v>2020</v>
      </c>
      <c r="K4" s="229" t="s">
        <v>314</v>
      </c>
      <c r="L4" s="229">
        <v>2021</v>
      </c>
      <c r="M4" s="229" t="s">
        <v>314</v>
      </c>
      <c r="N4" s="229">
        <v>2022</v>
      </c>
      <c r="O4" s="229">
        <v>2023</v>
      </c>
      <c r="P4" s="66"/>
      <c r="Q4" s="113">
        <v>1</v>
      </c>
      <c r="R4" s="120" t="s">
        <v>152</v>
      </c>
      <c r="S4" s="48">
        <f>4189000/12</f>
        <v>349083.33333333331</v>
      </c>
      <c r="T4" s="48">
        <f t="shared" ref="T4:AD4" si="0">4189000/12</f>
        <v>349083.33333333331</v>
      </c>
      <c r="U4" s="48">
        <f t="shared" si="0"/>
        <v>349083.33333333331</v>
      </c>
      <c r="V4" s="48">
        <f t="shared" si="0"/>
        <v>349083.33333333331</v>
      </c>
      <c r="W4" s="48">
        <f t="shared" si="0"/>
        <v>349083.33333333331</v>
      </c>
      <c r="X4" s="48">
        <f t="shared" si="0"/>
        <v>349083.33333333331</v>
      </c>
      <c r="Y4" s="48">
        <f t="shared" si="0"/>
        <v>349083.33333333331</v>
      </c>
      <c r="Z4" s="48">
        <f t="shared" si="0"/>
        <v>349083.33333333331</v>
      </c>
      <c r="AA4" s="48">
        <f t="shared" si="0"/>
        <v>349083.33333333331</v>
      </c>
      <c r="AB4" s="48">
        <f t="shared" si="0"/>
        <v>349083.33333333331</v>
      </c>
      <c r="AC4" s="48">
        <f t="shared" si="0"/>
        <v>349083.33333333331</v>
      </c>
      <c r="AD4" s="48">
        <f t="shared" si="0"/>
        <v>349083.33333333331</v>
      </c>
      <c r="AE4" s="48">
        <f>SUM(S4:AD4)</f>
        <v>4189000.0000000005</v>
      </c>
      <c r="AF4" s="231">
        <f>AE4/$AE$20</f>
        <v>2.9840898586058283E-2</v>
      </c>
      <c r="AG4" s="232"/>
    </row>
    <row r="5" spans="1:33">
      <c r="A5" s="226" t="s">
        <v>131</v>
      </c>
      <c r="B5" s="48">
        <f>14399728.14-6630054.7</f>
        <v>7769673.4400000004</v>
      </c>
      <c r="C5" s="233">
        <f>B5/B17</f>
        <v>8.4389930254241394E-2</v>
      </c>
      <c r="D5" s="48">
        <v>8128227.1699999999</v>
      </c>
      <c r="E5" s="233">
        <f>D5/D17</f>
        <v>7.7766631965007368E-2</v>
      </c>
      <c r="F5" s="48">
        <v>7522241.2699999996</v>
      </c>
      <c r="G5" s="233">
        <f>F5/F17</f>
        <v>7.9831482089003813E-2</v>
      </c>
      <c r="H5" s="48">
        <v>10690469.82</v>
      </c>
      <c r="I5" s="233">
        <f>H5/H17</f>
        <v>9.2128811723208082E-2</v>
      </c>
      <c r="J5" s="48">
        <v>10229896.279999999</v>
      </c>
      <c r="K5" s="233">
        <f>J5/J17</f>
        <v>8.258854573464873E-2</v>
      </c>
      <c r="L5" s="48">
        <v>11654886.960000001</v>
      </c>
      <c r="M5" s="233">
        <f>L5/L17</f>
        <v>8.3025137216384368E-2</v>
      </c>
      <c r="N5" s="234">
        <f>((F5+H5+J5+L5)/3.15)-354050.16</f>
        <v>12375313.119365079</v>
      </c>
      <c r="O5" s="234">
        <f>(H5+J5+L5+N5)/3.15</f>
        <v>14270021.009322248</v>
      </c>
      <c r="P5" s="235"/>
      <c r="Q5" s="113">
        <v>2</v>
      </c>
      <c r="R5" s="120" t="s">
        <v>153</v>
      </c>
      <c r="S5" s="236">
        <f>2321581.45*M5</f>
        <v>192749.6184452626</v>
      </c>
      <c r="T5" s="236">
        <f>2321581.45*M6</f>
        <v>196936.61091852901</v>
      </c>
      <c r="U5" s="236">
        <f>2321581.45*M7</f>
        <v>184177.54439341681</v>
      </c>
      <c r="V5" s="236">
        <f>2321581.45*M8</f>
        <v>191029.56501157704</v>
      </c>
      <c r="W5" s="236">
        <f>2321581.45*M9</f>
        <v>188976.50552174228</v>
      </c>
      <c r="X5" s="236">
        <f>2321581.45*M10</f>
        <v>171768.80709248682</v>
      </c>
      <c r="Y5" s="236">
        <f>2321581.45*M11</f>
        <v>200982.46253396393</v>
      </c>
      <c r="Z5" s="236">
        <f>2321581.45*M12</f>
        <v>175552.84605757133</v>
      </c>
      <c r="AA5" s="236">
        <f>2321581.45*M13</f>
        <v>173706.7347232232</v>
      </c>
      <c r="AB5" s="236">
        <f>2321581.45*M14</f>
        <v>188600.42831457994</v>
      </c>
      <c r="AC5" s="236">
        <f>2321581.45*M15</f>
        <v>176054.68560077678</v>
      </c>
      <c r="AD5" s="236">
        <f>2321581.45*M16</f>
        <v>281045.64138687</v>
      </c>
      <c r="AE5" s="48">
        <f>SUM(S5:AD5)</f>
        <v>2321581.4499999993</v>
      </c>
      <c r="AF5" s="231">
        <f t="shared" ref="AF5:AF19" si="1">AE5/$AE$20</f>
        <v>1.6538094201175486E-2</v>
      </c>
    </row>
    <row r="6" spans="1:33">
      <c r="A6" s="226" t="s">
        <v>132</v>
      </c>
      <c r="B6" s="48">
        <v>6630054.7000000002</v>
      </c>
      <c r="C6" s="233">
        <f>B6/B17</f>
        <v>7.2012016725738384E-2</v>
      </c>
      <c r="D6" s="48">
        <v>8406126.3200000003</v>
      </c>
      <c r="E6" s="233">
        <f>D6/D17</f>
        <v>8.0425425877805753E-2</v>
      </c>
      <c r="F6" s="48">
        <f>7197732.78</f>
        <v>7197732.7800000003</v>
      </c>
      <c r="G6" s="233">
        <f>F6/F17</f>
        <v>7.6387562547299906E-2</v>
      </c>
      <c r="H6" s="48">
        <f>8384491.75</f>
        <v>8384491.75</v>
      </c>
      <c r="I6" s="233">
        <f>H6/H17</f>
        <v>7.2256250177650416E-2</v>
      </c>
      <c r="J6" s="48">
        <f>10875208.14</f>
        <v>10875208.140000001</v>
      </c>
      <c r="K6" s="233">
        <f>J6/J17</f>
        <v>8.7798311953580663E-2</v>
      </c>
      <c r="L6" s="48">
        <v>11908059.57</v>
      </c>
      <c r="M6" s="233">
        <f>L6/L17</f>
        <v>8.4828645972567104E-2</v>
      </c>
      <c r="N6" s="234">
        <f t="shared" ref="N6:N16" si="2">(F6+H6+J6+L6)/3.15</f>
        <v>12179521.346031748</v>
      </c>
      <c r="O6" s="234">
        <f>(H6+J6+L6+N6)/3.15</f>
        <v>13761041.525724364</v>
      </c>
      <c r="P6" s="235"/>
      <c r="Q6" s="113">
        <v>3</v>
      </c>
      <c r="R6" s="120" t="s">
        <v>154</v>
      </c>
      <c r="S6" s="236">
        <f>1262392.3*M5</f>
        <v>104810.29392840706</v>
      </c>
      <c r="T6" s="236">
        <f>1262392.3*M6</f>
        <v>107087.02949519473</v>
      </c>
      <c r="U6" s="236">
        <f>1262392.3*M7</f>
        <v>100149.10908043203</v>
      </c>
      <c r="V6" s="236">
        <f>1262392.3*M8</f>
        <v>103874.99087872375</v>
      </c>
      <c r="W6" s="236">
        <f>1262392.3*M9</f>
        <v>102758.61114050292</v>
      </c>
      <c r="X6" s="236">
        <f>1262392.3*M10</f>
        <v>93401.685068486724</v>
      </c>
      <c r="Y6" s="236">
        <f>1262392.3*M11</f>
        <v>109287.01775159108</v>
      </c>
      <c r="Z6" s="236">
        <f>1262392.3*M12</f>
        <v>95459.309043912013</v>
      </c>
      <c r="AA6" s="236">
        <f>1262392.3*M13</f>
        <v>94455.460252208504</v>
      </c>
      <c r="AB6" s="236">
        <f>1262392.3*M14</f>
        <v>102554.11391275017</v>
      </c>
      <c r="AC6" s="236">
        <f>1262392.3*M15</f>
        <v>95732.191296299963</v>
      </c>
      <c r="AD6" s="236">
        <f>1262392.3*M16</f>
        <v>152822.48815149086</v>
      </c>
      <c r="AE6" s="48">
        <f t="shared" ref="AE6:AE18" si="3">SUM(S6:AD6)</f>
        <v>1262392.2999999998</v>
      </c>
      <c r="AF6" s="231">
        <f t="shared" si="1"/>
        <v>8.9928194318741606E-3</v>
      </c>
    </row>
    <row r="7" spans="1:33">
      <c r="A7" s="226" t="s">
        <v>133</v>
      </c>
      <c r="B7" s="48">
        <v>6582277.29</v>
      </c>
      <c r="C7" s="233">
        <f>B7/B17</f>
        <v>7.1493084710285718E-2</v>
      </c>
      <c r="D7" s="48">
        <f>8078817.9</f>
        <v>8078817.9000000004</v>
      </c>
      <c r="E7" s="233">
        <f>D7/D17</f>
        <v>7.7293909877473782E-2</v>
      </c>
      <c r="F7" s="48">
        <v>7899052.6200000001</v>
      </c>
      <c r="G7" s="233">
        <f>F7/F17</f>
        <v>8.3830477529156511E-2</v>
      </c>
      <c r="H7" s="48">
        <v>8599525.3800000008</v>
      </c>
      <c r="I7" s="233">
        <f>H7/H17</f>
        <v>7.4109376667504542E-2</v>
      </c>
      <c r="J7" s="48">
        <v>9752914.3900000006</v>
      </c>
      <c r="K7" s="233">
        <f>J7/J17</f>
        <v>7.8737750031677628E-2</v>
      </c>
      <c r="L7" s="234">
        <f>((D7+F7+H7+J7)/3.15)+238052.79</f>
        <v>11136563.993174603</v>
      </c>
      <c r="M7" s="233">
        <f>L7/L17</f>
        <v>7.9332794631614925E-2</v>
      </c>
      <c r="N7" s="234">
        <f t="shared" si="2"/>
        <v>11869224.24862686</v>
      </c>
      <c r="O7" s="234">
        <f t="shared" ref="O7:O16" si="4">(H7+J7+L7+N7)/3.15</f>
        <v>13129596.194222689</v>
      </c>
      <c r="P7" s="235"/>
      <c r="Q7" s="113">
        <v>4</v>
      </c>
      <c r="R7" s="120" t="s">
        <v>155</v>
      </c>
      <c r="S7" s="236">
        <f>1831204.8*M5</f>
        <v>152036.0297913017</v>
      </c>
      <c r="T7" s="236">
        <f>1831204.8*M6</f>
        <v>155338.62368246555</v>
      </c>
      <c r="U7" s="236">
        <f>1831204.8*M7</f>
        <v>145274.5943268275</v>
      </c>
      <c r="V7" s="236">
        <f>1831204.8*M8</f>
        <v>150679.29509477771</v>
      </c>
      <c r="W7" s="236">
        <f>1831204.8*M9</f>
        <v>149059.89363355783</v>
      </c>
      <c r="X7" s="236">
        <f>1831204.8*M10</f>
        <v>135486.89581321212</v>
      </c>
      <c r="Y7" s="236">
        <f>1831204.8*M11</f>
        <v>158529.88923047041</v>
      </c>
      <c r="Z7" s="236">
        <f>1831204.8*M12</f>
        <v>138471.65015652828</v>
      </c>
      <c r="AA7" s="236">
        <f>1831204.8*M13</f>
        <v>137015.48417243469</v>
      </c>
      <c r="AB7" s="236">
        <f>1831204.8*M14</f>
        <v>148763.25343300562</v>
      </c>
      <c r="AC7" s="236">
        <f>1831204.8*M15</f>
        <v>138867.48851074482</v>
      </c>
      <c r="AD7" s="236">
        <f>1831204.8*M16</f>
        <v>221681.70215467346</v>
      </c>
      <c r="AE7" s="48">
        <f t="shared" si="3"/>
        <v>1831204.7999999998</v>
      </c>
      <c r="AF7" s="231">
        <f t="shared" si="1"/>
        <v>1.3044830920769428E-2</v>
      </c>
    </row>
    <row r="8" spans="1:33">
      <c r="A8" s="226" t="s">
        <v>134</v>
      </c>
      <c r="B8" s="48">
        <v>7609123.75</v>
      </c>
      <c r="C8" s="233">
        <f>B8/B17</f>
        <v>8.2646127603323266E-2</v>
      </c>
      <c r="D8" s="48">
        <v>8695190.5800000001</v>
      </c>
      <c r="E8" s="233">
        <f>D8/D17</f>
        <v>8.3191041731238799E-2</v>
      </c>
      <c r="F8" s="48">
        <v>7799663.9400000004</v>
      </c>
      <c r="G8" s="233">
        <f>F8/F17</f>
        <v>8.2775692745941265E-2</v>
      </c>
      <c r="H8" s="48">
        <f>10080023.23</f>
        <v>10080023.23</v>
      </c>
      <c r="I8" s="233">
        <f>H8/H17</f>
        <v>8.6868077639101718E-2</v>
      </c>
      <c r="J8" s="48">
        <f>9810398.72</f>
        <v>9810398.7200000007</v>
      </c>
      <c r="K8" s="233">
        <f>J8/J17</f>
        <v>7.9201835598851203E-2</v>
      </c>
      <c r="L8" s="234">
        <f>((D8+F8+H8+J8)/3.15)</f>
        <v>11550881.419047618</v>
      </c>
      <c r="M8" s="233">
        <f>L8/L17</f>
        <v>8.228423991395048E-2</v>
      </c>
      <c r="N8" s="234">
        <f t="shared" si="2"/>
        <v>12457449.939380197</v>
      </c>
      <c r="O8" s="234">
        <f t="shared" si="4"/>
        <v>13936112.161405656</v>
      </c>
      <c r="P8" s="235"/>
      <c r="Q8" s="113">
        <v>5</v>
      </c>
      <c r="R8" s="120" t="s">
        <v>156</v>
      </c>
      <c r="S8" s="236">
        <f>7750365.63*M5</f>
        <v>643475.16990789922</v>
      </c>
      <c r="T8" s="236">
        <f>7750365.63*M6</f>
        <v>657453.02218522201</v>
      </c>
      <c r="U8" s="236">
        <f>7750365.63*M7</f>
        <v>614858.16484471678</v>
      </c>
      <c r="V8" s="236">
        <f>7750365.63*M8</f>
        <v>637732.94491975592</v>
      </c>
      <c r="W8" s="236">
        <f>7750365.63*M9</f>
        <v>630879.01278381445</v>
      </c>
      <c r="X8" s="236">
        <f>7750365.63*M10</f>
        <v>573432.84630212304</v>
      </c>
      <c r="Y8" s="236">
        <f>7750365.63*M11</f>
        <v>670959.68993721786</v>
      </c>
      <c r="Z8" s="236">
        <f>7750365.63*M12</f>
        <v>586065.47891450534</v>
      </c>
      <c r="AA8" s="236">
        <f>7750365.63*M13</f>
        <v>579902.42233301641</v>
      </c>
      <c r="AB8" s="236">
        <f>7750365.63*M14</f>
        <v>629623.51694040245</v>
      </c>
      <c r="AC8" s="236">
        <f>7750365.63*M15</f>
        <v>587740.81963857694</v>
      </c>
      <c r="AD8" s="236">
        <f>7750365.63*M16</f>
        <v>938242.54129274783</v>
      </c>
      <c r="AE8" s="48">
        <f t="shared" si="3"/>
        <v>7750365.629999998</v>
      </c>
      <c r="AF8" s="231">
        <f t="shared" si="1"/>
        <v>5.5210760269682892E-2</v>
      </c>
    </row>
    <row r="9" spans="1:33">
      <c r="A9" s="226" t="s">
        <v>315</v>
      </c>
      <c r="B9" s="48">
        <v>7587298.8799999999</v>
      </c>
      <c r="C9" s="233">
        <f>B9/B17</f>
        <v>8.2409077839091752E-2</v>
      </c>
      <c r="D9" s="48">
        <f>8219532.42</f>
        <v>8219532.4199999999</v>
      </c>
      <c r="E9" s="233">
        <f>D9/D17</f>
        <v>7.8640192905753442E-2</v>
      </c>
      <c r="F9" s="48">
        <f>7664973.99</f>
        <v>7664973.9900000002</v>
      </c>
      <c r="G9" s="233">
        <f>F9/F17</f>
        <v>8.1346265272792179E-2</v>
      </c>
      <c r="H9" s="48">
        <f>9454030.45</f>
        <v>9454030.4499999993</v>
      </c>
      <c r="I9" s="233">
        <f>H9/H17</f>
        <v>8.1473368899471446E-2</v>
      </c>
      <c r="J9" s="48">
        <f>10655694.71</f>
        <v>10655694.710000001</v>
      </c>
      <c r="K9" s="233">
        <f>J9/J17</f>
        <v>8.6026124391095957E-2</v>
      </c>
      <c r="L9" s="234">
        <f t="shared" ref="L9:L16" si="5">((D9+F9+H9+J9)/3.15)</f>
        <v>11426740.180952381</v>
      </c>
      <c r="M9" s="233">
        <f>L9/L17</f>
        <v>8.139990329511905E-2</v>
      </c>
      <c r="N9" s="234">
        <f t="shared" si="2"/>
        <v>12444901.374905517</v>
      </c>
      <c r="O9" s="234">
        <f>((H9+J9+L9+N9)/3.15)-5409.33</f>
        <v>13956929.309954889</v>
      </c>
      <c r="P9" s="235"/>
      <c r="Q9" s="113">
        <v>6</v>
      </c>
      <c r="R9" s="120" t="s">
        <v>157</v>
      </c>
      <c r="S9" s="236">
        <f>3547551.94*M5</f>
        <v>294535.98660075053</v>
      </c>
      <c r="T9" s="236">
        <f>3547551.94*M6</f>
        <v>300934.0275875536</v>
      </c>
      <c r="U9" s="236">
        <f>3547551.94*M7</f>
        <v>281437.20950100711</v>
      </c>
      <c r="V9" s="236">
        <f>3547551.94*M8</f>
        <v>291907.61493816046</v>
      </c>
      <c r="W9" s="236">
        <f>3547551.94*M9</f>
        <v>288770.38485041197</v>
      </c>
      <c r="X9" s="236">
        <f>3547551.94*M10</f>
        <v>262475.72094980226</v>
      </c>
      <c r="Y9" s="236">
        <f>3547551.94*M11</f>
        <v>307116.39467499236</v>
      </c>
      <c r="Z9" s="236">
        <f>3547551.94*M12</f>
        <v>268258.01851753186</v>
      </c>
      <c r="AA9" s="236">
        <f>3547551.94*M13</f>
        <v>265437.02085422666</v>
      </c>
      <c r="AB9" s="236">
        <f>3547551.94*M14</f>
        <v>288195.7104508304</v>
      </c>
      <c r="AC9" s="236">
        <f>3547551.94*M15</f>
        <v>269024.86727274879</v>
      </c>
      <c r="AD9" s="236">
        <f>3547551.94*M16</f>
        <v>429458.98380198324</v>
      </c>
      <c r="AE9" s="48">
        <f t="shared" si="3"/>
        <v>3547551.939999999</v>
      </c>
      <c r="AF9" s="231">
        <f t="shared" si="1"/>
        <v>2.5271458025856834E-2</v>
      </c>
    </row>
    <row r="10" spans="1:33">
      <c r="A10" s="226" t="s">
        <v>316</v>
      </c>
      <c r="B10" s="48">
        <v>6475322.6299999999</v>
      </c>
      <c r="C10" s="233">
        <f>B10/B17</f>
        <v>7.033140187155805E-2</v>
      </c>
      <c r="D10" s="48">
        <v>7486671.6799999997</v>
      </c>
      <c r="E10" s="233">
        <f>D10/D17</f>
        <v>7.1628564138839571E-2</v>
      </c>
      <c r="F10" s="48">
        <f>7453635.72+55.15</f>
        <v>7453690.8700000001</v>
      </c>
      <c r="G10" s="233">
        <f>F10/F17</f>
        <v>7.9103975507738039E-2</v>
      </c>
      <c r="H10" s="48">
        <f>8906802.9</f>
        <v>8906802.9000000004</v>
      </c>
      <c r="I10" s="233">
        <f>H10/H17</f>
        <v>7.6757446702171578E-2</v>
      </c>
      <c r="J10" s="48">
        <f>8869527.04</f>
        <v>8869527.0399999991</v>
      </c>
      <c r="K10" s="233">
        <f>J10/J17</f>
        <v>7.1605940034784363E-2</v>
      </c>
      <c r="L10" s="234">
        <f t="shared" si="5"/>
        <v>10386251.584126985</v>
      </c>
      <c r="M10" s="233">
        <f>L10/L17</f>
        <v>7.3987844403428885E-2</v>
      </c>
      <c r="N10" s="234">
        <f t="shared" si="2"/>
        <v>11306753.140992694</v>
      </c>
      <c r="O10" s="234">
        <f t="shared" si="4"/>
        <v>12529947.512736406</v>
      </c>
      <c r="P10" s="235"/>
      <c r="Q10" s="113">
        <v>7</v>
      </c>
      <c r="R10" s="120" t="s">
        <v>158</v>
      </c>
      <c r="S10" s="236">
        <f>1229036.08*M5</f>
        <v>102040.88918588716</v>
      </c>
      <c r="T10" s="236">
        <f>1229036.08*M6</f>
        <v>104257.46651783166</v>
      </c>
      <c r="U10" s="236">
        <f>1229036.08*M7</f>
        <v>97502.866929485055</v>
      </c>
      <c r="V10" s="236">
        <f>1229036.08*M8</f>
        <v>101130.29966962124</v>
      </c>
      <c r="W10" s="236">
        <f>1229036.08*M9</f>
        <v>100043.41805821221</v>
      </c>
      <c r="X10" s="236">
        <f>1229036.08*M10</f>
        <v>90933.730253240181</v>
      </c>
      <c r="Y10" s="236">
        <f>1229036.08*M11</f>
        <v>106399.32443528522</v>
      </c>
      <c r="Z10" s="236">
        <f>1229036.08*M12</f>
        <v>92936.985584305439</v>
      </c>
      <c r="AA10" s="236">
        <f>1229036.08*M13</f>
        <v>91959.661511695027</v>
      </c>
      <c r="AB10" s="236">
        <f>1229036.08*M14</f>
        <v>99844.324265285773</v>
      </c>
      <c r="AC10" s="236">
        <f>1229036.08*M15</f>
        <v>93202.657462830393</v>
      </c>
      <c r="AD10" s="236">
        <f>1229036.08*M16</f>
        <v>148784.45612632047</v>
      </c>
      <c r="AE10" s="48">
        <f t="shared" si="3"/>
        <v>1229036.0799999996</v>
      </c>
      <c r="AF10" s="231">
        <f t="shared" si="1"/>
        <v>8.7552019627325384E-3</v>
      </c>
    </row>
    <row r="11" spans="1:33">
      <c r="A11" s="226" t="s">
        <v>317</v>
      </c>
      <c r="B11" s="48">
        <v>6763469.2400000002</v>
      </c>
      <c r="C11" s="233">
        <f>B11/B17</f>
        <v>7.3461092264426889E-2</v>
      </c>
      <c r="D11" s="48">
        <v>9406077.1500000004</v>
      </c>
      <c r="E11" s="233">
        <f>D11/D17</f>
        <v>8.999243311730859E-2</v>
      </c>
      <c r="F11" s="48">
        <v>8077958.0199999996</v>
      </c>
      <c r="G11" s="233">
        <f>F11/F17</f>
        <v>8.57291514380467E-2</v>
      </c>
      <c r="H11" s="48">
        <v>9979327.3900000006</v>
      </c>
      <c r="I11" s="233">
        <f>H11/H17</f>
        <v>8.6000296499369702E-2</v>
      </c>
      <c r="J11" s="48">
        <f>10817635.8</f>
        <v>10817635.800000001</v>
      </c>
      <c r="K11" s="233">
        <f>J11/J17</f>
        <v>8.7333515859368382E-2</v>
      </c>
      <c r="L11" s="234">
        <f t="shared" si="5"/>
        <v>12152697.892063493</v>
      </c>
      <c r="M11" s="233">
        <f>L11/L17</f>
        <v>8.6571359593678662E-2</v>
      </c>
      <c r="N11" s="234">
        <f t="shared" si="2"/>
        <v>13024640.984782061</v>
      </c>
      <c r="O11" s="234">
        <f t="shared" si="4"/>
        <v>14595016.52915732</v>
      </c>
      <c r="P11" s="235"/>
      <c r="Q11" s="113">
        <v>8</v>
      </c>
      <c r="R11" s="120" t="s">
        <v>159</v>
      </c>
      <c r="S11" s="236">
        <f>12475764.3*M5</f>
        <v>1035802.0428867695</v>
      </c>
      <c r="T11" s="236">
        <f>12475764.3*M6</f>
        <v>1058302.1930418916</v>
      </c>
      <c r="U11" s="236">
        <f>12475764.3*M7</f>
        <v>989737.24708433321</v>
      </c>
      <c r="V11" s="236">
        <f>12475764.3*M8</f>
        <v>1026558.7827710985</v>
      </c>
      <c r="W11" s="236">
        <f>12475764.3*M9</f>
        <v>1015526.0075526987</v>
      </c>
      <c r="X11" s="236">
        <f>12475764.3*M10</f>
        <v>923054.90784225299</v>
      </c>
      <c r="Y11" s="236">
        <f>12475764.3*M11</f>
        <v>1080043.8774212787</v>
      </c>
      <c r="Z11" s="236">
        <f>12475764.3*M12</f>
        <v>943389.65777334408</v>
      </c>
      <c r="AA11" s="236">
        <f>12475764.3*M13</f>
        <v>933468.98500139138</v>
      </c>
      <c r="AB11" s="236">
        <f>12475764.3*M14</f>
        <v>1013505.0357728115</v>
      </c>
      <c r="AC11" s="236">
        <f>12475764.3*M15</f>
        <v>946086.45389800763</v>
      </c>
      <c r="AD11" s="236">
        <f>12475764.3*M16</f>
        <v>1510289.1089541204</v>
      </c>
      <c r="AE11" s="48">
        <f t="shared" si="3"/>
        <v>12475764.299999997</v>
      </c>
      <c r="AF11" s="231">
        <f t="shared" si="1"/>
        <v>8.8872766115986226E-2</v>
      </c>
    </row>
    <row r="12" spans="1:33">
      <c r="A12" s="226" t="s">
        <v>318</v>
      </c>
      <c r="B12" s="48">
        <v>6706244.7400000002</v>
      </c>
      <c r="C12" s="233">
        <f>B12/B17</f>
        <v>7.2839551140320924E-2</v>
      </c>
      <c r="D12" s="48">
        <f>7641217.97</f>
        <v>7641217.9699999997</v>
      </c>
      <c r="E12" s="233">
        <f>D12/D17</f>
        <v>7.3107182317763739E-2</v>
      </c>
      <c r="F12" s="48">
        <v>7400073.3700000001</v>
      </c>
      <c r="G12" s="233">
        <f>F12/F17</f>
        <v>7.8534947695777527E-2</v>
      </c>
      <c r="H12" s="48">
        <v>8879675.7799999993</v>
      </c>
      <c r="I12" s="233">
        <f>H12/H17</f>
        <v>7.6523669387128096E-2</v>
      </c>
      <c r="J12" s="48">
        <f>9516468.8</f>
        <v>9516468.8000000007</v>
      </c>
      <c r="K12" s="233">
        <f>J12/J17</f>
        <v>7.6828864849562084E-2</v>
      </c>
      <c r="L12" s="234">
        <f t="shared" si="5"/>
        <v>10615059.022222223</v>
      </c>
      <c r="M12" s="233">
        <f>L12/L17</f>
        <v>7.5617784617279443E-2</v>
      </c>
      <c r="N12" s="234">
        <f t="shared" si="2"/>
        <v>11559135.546737215</v>
      </c>
      <c r="O12" s="234">
        <f t="shared" si="4"/>
        <v>12879472.745701408</v>
      </c>
      <c r="P12" s="235"/>
      <c r="Q12" s="113">
        <v>9</v>
      </c>
      <c r="R12" s="120" t="s">
        <v>160</v>
      </c>
      <c r="S12" s="236">
        <f>38964505.89*M5</f>
        <v>3235033.4480858669</v>
      </c>
      <c r="T12" s="236">
        <f>38964505.89*M6</f>
        <v>3305306.2756388159</v>
      </c>
      <c r="U12" s="236">
        <f>38964505.89*M7</f>
        <v>3091163.14369372</v>
      </c>
      <c r="V12" s="236">
        <f>38964505.89*M8</f>
        <v>3206164.7507812968</v>
      </c>
      <c r="W12" s="236">
        <f>38964505.89*M9</f>
        <v>3171707.0113880965</v>
      </c>
      <c r="X12" s="236">
        <f>38964505.89*M10</f>
        <v>2882899.7990458081</v>
      </c>
      <c r="Y12" s="236">
        <f>38964505.89*M11</f>
        <v>3373210.2507932005</v>
      </c>
      <c r="Z12" s="236">
        <f>38964505.89*M12</f>
        <v>2946409.6141087362</v>
      </c>
      <c r="AA12" s="236">
        <f>38964505.89*M13</f>
        <v>2915425.2108000335</v>
      </c>
      <c r="AB12" s="236">
        <f>38964505.89*M14</f>
        <v>3165395.0801166045</v>
      </c>
      <c r="AC12" s="236">
        <f>38964505.89*M15</f>
        <v>2954832.2907445543</v>
      </c>
      <c r="AD12" s="236">
        <f>38964505.89*M16</f>
        <v>4716959.0148032596</v>
      </c>
      <c r="AE12" s="48">
        <f t="shared" si="3"/>
        <v>38964505.889999993</v>
      </c>
      <c r="AF12" s="231">
        <f t="shared" si="1"/>
        <v>0.27756883951285755</v>
      </c>
    </row>
    <row r="13" spans="1:33">
      <c r="A13" s="226" t="s">
        <v>319</v>
      </c>
      <c r="B13" s="48">
        <v>7994407.7000000002</v>
      </c>
      <c r="C13" s="233">
        <f>B13/B17</f>
        <v>8.6830870491124562E-2</v>
      </c>
      <c r="D13" s="48">
        <v>7402995.8799999999</v>
      </c>
      <c r="E13" s="233">
        <f>D13/D17</f>
        <v>7.0827997790621031E-2</v>
      </c>
      <c r="F13" s="48">
        <f>6729771.56</f>
        <v>6729771.5599999996</v>
      </c>
      <c r="G13" s="233">
        <f>F13/F17</f>
        <v>7.1421218553287272E-2</v>
      </c>
      <c r="H13" s="48">
        <f>8643003.18</f>
        <v>8643003.1799999997</v>
      </c>
      <c r="I13" s="233">
        <f>H13/H17</f>
        <v>7.4484061608183716E-2</v>
      </c>
      <c r="J13" s="48">
        <f>10310037.68</f>
        <v>10310037.68</v>
      </c>
      <c r="K13" s="233">
        <f>J13/J17</f>
        <v>8.3235547571028926E-2</v>
      </c>
      <c r="L13" s="234">
        <f t="shared" si="5"/>
        <v>10503431.206349205</v>
      </c>
      <c r="M13" s="233">
        <f>L13/L17</f>
        <v>7.4822589025779471E-2</v>
      </c>
      <c r="N13" s="234">
        <f t="shared" si="2"/>
        <v>11487696.389317207</v>
      </c>
      <c r="O13" s="234">
        <f>(H13+J13+L13+N13)/3.15</f>
        <v>12998148.716084573</v>
      </c>
      <c r="P13" s="235"/>
      <c r="Q13" s="113">
        <v>10</v>
      </c>
      <c r="R13" s="120" t="s">
        <v>320</v>
      </c>
      <c r="S13" s="236">
        <f>27215844.71*M5</f>
        <v>2259599.2415075586</v>
      </c>
      <c r="T13" s="236">
        <f>27215844.71*M6</f>
        <v>2308683.2557489532</v>
      </c>
      <c r="U13" s="236">
        <f>27215844.71*M7</f>
        <v>2159109.0191043536</v>
      </c>
      <c r="V13" s="236">
        <f>27215844.71*M8</f>
        <v>2239435.09557846</v>
      </c>
      <c r="W13" s="236">
        <f>27215844.71*M9</f>
        <v>2215367.1274889773</v>
      </c>
      <c r="X13" s="236">
        <f>27215844.71*M10</f>
        <v>2013641.6837113632</v>
      </c>
      <c r="Y13" s="236">
        <f>27215844.71*M11</f>
        <v>2356112.6790351272</v>
      </c>
      <c r="Z13" s="236">
        <f>27215844.71*M12</f>
        <v>2058001.8834581042</v>
      </c>
      <c r="AA13" s="236">
        <f>27215844.71*M13</f>
        <v>2036359.9637257643</v>
      </c>
      <c r="AB13" s="236">
        <f>27215844.71*M14</f>
        <v>2210958.3832387594</v>
      </c>
      <c r="AC13" s="236">
        <f>27215844.71*M15</f>
        <v>2063884.9366144845</v>
      </c>
      <c r="AD13" s="236">
        <f>27215844.71*M16</f>
        <v>3294691.4407880898</v>
      </c>
      <c r="AE13" s="48">
        <f t="shared" si="3"/>
        <v>27215844.709999997</v>
      </c>
      <c r="AF13" s="231">
        <f t="shared" si="1"/>
        <v>0.19387568916806414</v>
      </c>
    </row>
    <row r="14" spans="1:33">
      <c r="A14" s="226" t="s">
        <v>321</v>
      </c>
      <c r="B14" s="48">
        <v>8256815.9400000004</v>
      </c>
      <c r="C14" s="233">
        <f>B14/B17</f>
        <v>8.9681004829812838E-2</v>
      </c>
      <c r="D14" s="48">
        <v>9451675.9000000004</v>
      </c>
      <c r="E14" s="233">
        <f>D14/D17</f>
        <v>9.0428698139822031E-2</v>
      </c>
      <c r="F14" s="48">
        <f>7115297.7</f>
        <v>7115297.7000000002</v>
      </c>
      <c r="G14" s="233">
        <f>F14/F17</f>
        <v>7.5512701667900653E-2</v>
      </c>
      <c r="H14" s="48">
        <f>10001253.91</f>
        <v>10001253.91</v>
      </c>
      <c r="I14" s="233">
        <f>H14/H17</f>
        <v>8.6189255849785332E-2</v>
      </c>
      <c r="J14" s="48">
        <v>9354372.8800000008</v>
      </c>
      <c r="K14" s="233">
        <f>J14/J17</f>
        <v>7.5520223399453468E-2</v>
      </c>
      <c r="L14" s="234">
        <f t="shared" si="5"/>
        <v>11404000.123809524</v>
      </c>
      <c r="M14" s="233">
        <f>L14/L17</f>
        <v>8.1237911473913585E-2</v>
      </c>
      <c r="N14" s="234">
        <f t="shared" si="2"/>
        <v>12023785.591685563</v>
      </c>
      <c r="O14" s="234">
        <f t="shared" si="4"/>
        <v>13582035.716030186</v>
      </c>
      <c r="P14" s="235"/>
      <c r="Q14" s="113">
        <v>11</v>
      </c>
      <c r="R14" s="120" t="s">
        <v>162</v>
      </c>
      <c r="S14" s="236">
        <f>4170062.01*M5</f>
        <v>346219.97058108158</v>
      </c>
      <c r="T14" s="236">
        <f>4170062.01*M6</f>
        <v>353740.71392994159</v>
      </c>
      <c r="U14" s="236">
        <f>4170062.01*M7</f>
        <v>330822.6730404293</v>
      </c>
      <c r="V14" s="236">
        <f>4170062.01*M8</f>
        <v>343130.38288689055</v>
      </c>
      <c r="W14" s="236">
        <f>4170062.01*M9</f>
        <v>339442.64434864977</v>
      </c>
      <c r="X14" s="236">
        <f>4170062.01*M10</f>
        <v>308533.89914852986</v>
      </c>
      <c r="Y14" s="236">
        <f>4170062.01*M11</f>
        <v>361007.93779564841</v>
      </c>
      <c r="Z14" s="236">
        <f>4170062.01*M12</f>
        <v>315330.8509128794</v>
      </c>
      <c r="AA14" s="236">
        <f>4170062.01*M13</f>
        <v>312014.83598624589</v>
      </c>
      <c r="AB14" s="236">
        <f>4170062.01*M14</f>
        <v>338767.12840911013</v>
      </c>
      <c r="AC14" s="236">
        <f>4170062.01*M15</f>
        <v>316232.2631869294</v>
      </c>
      <c r="AD14" s="236">
        <f>4170062.01*M16</f>
        <v>504818.70977366314</v>
      </c>
      <c r="AE14" s="48">
        <f t="shared" si="3"/>
        <v>4170062.0099999984</v>
      </c>
      <c r="AF14" s="231">
        <f t="shared" si="1"/>
        <v>2.9705991295770902E-2</v>
      </c>
    </row>
    <row r="15" spans="1:33">
      <c r="A15" s="226" t="s">
        <v>322</v>
      </c>
      <c r="B15" s="48">
        <v>7544593.7400000002</v>
      </c>
      <c r="C15" s="233">
        <f>B15/B17</f>
        <v>8.1945238037595847E-2</v>
      </c>
      <c r="D15" s="48">
        <v>8798730.4900000002</v>
      </c>
      <c r="E15" s="233">
        <f>D15/D17</f>
        <v>8.4181657508364025E-2</v>
      </c>
      <c r="F15" s="48">
        <v>8267235.1900000004</v>
      </c>
      <c r="G15" s="233">
        <f>F15/F17</f>
        <v>8.7737898095372718E-2</v>
      </c>
      <c r="H15" s="48">
        <v>7399552.2000000002</v>
      </c>
      <c r="I15" s="233">
        <f>H15/H17</f>
        <v>6.3768193816373372E-2</v>
      </c>
      <c r="J15" s="48">
        <f>9067503.09</f>
        <v>9067503.0899999999</v>
      </c>
      <c r="K15" s="233">
        <f>J15/J17</f>
        <v>7.3204250869250628E-2</v>
      </c>
      <c r="L15" s="234">
        <f t="shared" si="5"/>
        <v>10645403.482539682</v>
      </c>
      <c r="M15" s="233">
        <f>L15/L17</f>
        <v>7.58339474157914E-2</v>
      </c>
      <c r="N15" s="234">
        <f t="shared" si="2"/>
        <v>11231648.876996724</v>
      </c>
      <c r="O15" s="234">
        <f t="shared" si="4"/>
        <v>12172732.587154416</v>
      </c>
      <c r="P15" s="235"/>
      <c r="Q15" s="113">
        <v>12</v>
      </c>
      <c r="R15" s="120" t="s">
        <v>163</v>
      </c>
      <c r="S15" s="236">
        <f>1810655.75*M5</f>
        <v>150329.94209538534</v>
      </c>
      <c r="T15" s="236">
        <f>1810655.75*M6</f>
        <v>153595.47559494298</v>
      </c>
      <c r="U15" s="236">
        <f>1810655.75*M7</f>
        <v>143644.3807633027</v>
      </c>
      <c r="V15" s="236">
        <f>1810655.75*M8</f>
        <v>148988.43213457393</v>
      </c>
      <c r="W15" s="236">
        <f>1810655.75*M9</f>
        <v>147387.20295075126</v>
      </c>
      <c r="X15" s="236">
        <f>1810655.75*M10</f>
        <v>133966.51589917383</v>
      </c>
      <c r="Y15" s="236">
        <f>1810655.75*M11</f>
        <v>156750.93003361192</v>
      </c>
      <c r="Z15" s="236">
        <f>1810655.75*M12</f>
        <v>136917.77651953857</v>
      </c>
      <c r="AA15" s="236">
        <f>1810655.75*M13</f>
        <v>135477.95104941449</v>
      </c>
      <c r="AB15" s="236">
        <f>1810655.75*M14</f>
        <v>147093.89152823261</v>
      </c>
      <c r="AC15" s="236">
        <f>1810655.75*M15</f>
        <v>137309.17293360035</v>
      </c>
      <c r="AD15" s="236">
        <f>1810655.75*M16</f>
        <v>219194.07849747167</v>
      </c>
      <c r="AE15" s="48">
        <f t="shared" si="3"/>
        <v>1810655.7499999995</v>
      </c>
      <c r="AF15" s="231">
        <f t="shared" si="1"/>
        <v>1.2898447030320668E-2</v>
      </c>
    </row>
    <row r="16" spans="1:33">
      <c r="A16" s="226" t="s">
        <v>323</v>
      </c>
      <c r="B16" s="48">
        <f>12149444.83</f>
        <v>12149444.83</v>
      </c>
      <c r="C16" s="233">
        <f>B16/B17</f>
        <v>0.13196060423248027</v>
      </c>
      <c r="D16" s="48">
        <v>12805492.609999999</v>
      </c>
      <c r="E16" s="233">
        <f>D16/D17</f>
        <v>0.12251626463000193</v>
      </c>
      <c r="F16" s="48">
        <v>11098810.23</v>
      </c>
      <c r="G16" s="233">
        <f>F16/F17</f>
        <v>0.11778862685768351</v>
      </c>
      <c r="H16" s="48">
        <f>15020134.53</f>
        <v>15020134.529999999</v>
      </c>
      <c r="I16" s="233">
        <f>H16/H17</f>
        <v>0.12944119103005206</v>
      </c>
      <c r="J16" s="48">
        <v>14606142.369999999</v>
      </c>
      <c r="K16" s="233">
        <f>J16/J17</f>
        <v>0.11791908970669795</v>
      </c>
      <c r="L16" s="234">
        <f t="shared" si="5"/>
        <v>16993834.838095237</v>
      </c>
      <c r="M16" s="233">
        <f>L16/L17</f>
        <v>0.12105784244049243</v>
      </c>
      <c r="N16" s="234">
        <f t="shared" si="2"/>
        <v>18323467.291458804</v>
      </c>
      <c r="O16" s="234">
        <f t="shared" si="4"/>
        <v>20617009.215731442</v>
      </c>
      <c r="P16" s="235"/>
      <c r="Q16" s="113">
        <v>13</v>
      </c>
      <c r="R16" s="120" t="s">
        <v>164</v>
      </c>
      <c r="S16" s="236">
        <f>3009924.34*M5</f>
        <v>249899.38133943515</v>
      </c>
      <c r="T16" s="236">
        <f>3009924.34*M6</f>
        <v>255327.80624207269</v>
      </c>
      <c r="U16" s="236">
        <f>3009924.34*M7</f>
        <v>238785.70952191908</v>
      </c>
      <c r="V16" s="236">
        <f>3009924.34*M8</f>
        <v>247669.33651539905</v>
      </c>
      <c r="W16" s="236">
        <f>3009924.34*M9</f>
        <v>245007.55020162501</v>
      </c>
      <c r="X16" s="236">
        <f>3009924.34*M10</f>
        <v>222697.81373401335</v>
      </c>
      <c r="Y16" s="236">
        <f>3009924.34*M11</f>
        <v>260573.24238790589</v>
      </c>
      <c r="Z16" s="236">
        <f>3009924.34*M12</f>
        <v>227603.81045642696</v>
      </c>
      <c r="AA16" s="236">
        <f>3009924.34*M13</f>
        <v>225210.33189051051</v>
      </c>
      <c r="AB16" s="236">
        <f>3009924.34*M14</f>
        <v>244519.96707609776</v>
      </c>
      <c r="AC16" s="236">
        <f>3009924.34*M15</f>
        <v>228254.44412507061</v>
      </c>
      <c r="AD16" s="236">
        <f>3009924.34*M16</f>
        <v>364374.94650952314</v>
      </c>
      <c r="AE16" s="48">
        <f>SUM(S16:AD16)</f>
        <v>3009924.3399999994</v>
      </c>
      <c r="AF16" s="231">
        <f t="shared" si="1"/>
        <v>2.1441596319324036E-2</v>
      </c>
    </row>
    <row r="17" spans="1:32">
      <c r="A17" s="120" t="s">
        <v>286</v>
      </c>
      <c r="B17" s="234">
        <f>SUM(B5:B16)</f>
        <v>92068726.88000001</v>
      </c>
      <c r="C17" s="233">
        <f>B17/B17</f>
        <v>1</v>
      </c>
      <c r="D17" s="234">
        <f>SUM(D5:D16)</f>
        <v>104520756.06999999</v>
      </c>
      <c r="E17" s="233">
        <f>D17/D17</f>
        <v>1</v>
      </c>
      <c r="F17" s="189">
        <f>SUM(F5:F16)</f>
        <v>94226501.539999992</v>
      </c>
      <c r="G17" s="233">
        <f>F17/F17</f>
        <v>1</v>
      </c>
      <c r="H17" s="48">
        <f>SUM(H5:H16)</f>
        <v>116038290.52</v>
      </c>
      <c r="I17" s="233">
        <f>H17/H17</f>
        <v>1</v>
      </c>
      <c r="J17" s="48">
        <f>SUM(J5:J16)</f>
        <v>123865799.90000001</v>
      </c>
      <c r="K17" s="233">
        <f>J17/J17</f>
        <v>1</v>
      </c>
      <c r="L17" s="234">
        <f>SUM(L5:L16)</f>
        <v>140377810.27238098</v>
      </c>
      <c r="M17" s="233">
        <f>L17/L17</f>
        <v>1</v>
      </c>
      <c r="N17" s="234">
        <f>SUM(N5:N16)</f>
        <v>150283537.85027969</v>
      </c>
      <c r="O17" s="234">
        <f>SUM(O5:O16)</f>
        <v>168428063.22322562</v>
      </c>
      <c r="P17" s="238"/>
      <c r="Q17" s="113">
        <v>14</v>
      </c>
      <c r="R17" s="120" t="s">
        <v>324</v>
      </c>
      <c r="S17" s="236">
        <f>372483.18*M5</f>
        <v>30925.467130295197</v>
      </c>
      <c r="T17" s="236">
        <f>372483.18*M6</f>
        <v>31597.243806955987</v>
      </c>
      <c r="U17" s="236">
        <f>372483.18*M7</f>
        <v>29550.131622670855</v>
      </c>
      <c r="V17" s="236">
        <f>372483.18*M8</f>
        <v>30649.495347031199</v>
      </c>
      <c r="W17" s="236">
        <f>372483.18*M9</f>
        <v>30320.094831058421</v>
      </c>
      <c r="X17" s="236">
        <f>372483.18*M10</f>
        <v>27559.227564734392</v>
      </c>
      <c r="Y17" s="236">
        <f>372483.18*M11</f>
        <v>32246.375318376937</v>
      </c>
      <c r="Z17" s="236">
        <f>372483.18*M12</f>
        <v>28166.352878799331</v>
      </c>
      <c r="AA17" s="236">
        <f>372483.18*M13</f>
        <v>27870.15589615544</v>
      </c>
      <c r="AB17" s="236">
        <f>372483.18*M14</f>
        <v>30259.75560236182</v>
      </c>
      <c r="AC17" s="236">
        <f>372483.18*M15</f>
        <v>28246.869885386761</v>
      </c>
      <c r="AD17" s="236">
        <f>372483.18*M16</f>
        <v>45092.01011617358</v>
      </c>
      <c r="AE17" s="48">
        <f t="shared" si="3"/>
        <v>372483.17999999993</v>
      </c>
      <c r="AF17" s="231">
        <f t="shared" si="1"/>
        <v>2.6534334684632345E-3</v>
      </c>
    </row>
    <row r="18" spans="1:32">
      <c r="A18" s="804" t="s">
        <v>325</v>
      </c>
      <c r="B18" s="805"/>
      <c r="C18" s="239"/>
      <c r="D18" s="239">
        <f>(D17-B17)/B17</f>
        <v>0.1352471095449124</v>
      </c>
      <c r="E18" s="240"/>
      <c r="F18" s="239">
        <f>(F17-D17)/D17</f>
        <v>-9.849005036957155E-2</v>
      </c>
      <c r="G18" s="113"/>
      <c r="H18" s="239">
        <f>(H17-F17)/F17</f>
        <v>0.23148253011113551</v>
      </c>
      <c r="I18" s="113"/>
      <c r="J18" s="239">
        <f>(J17-H17)/H17</f>
        <v>6.7456262453736204E-2</v>
      </c>
      <c r="K18" s="241"/>
      <c r="L18" s="239">
        <f>(L17-J17)/J17</f>
        <v>0.13330564518786894</v>
      </c>
      <c r="M18" s="113"/>
      <c r="N18" s="239">
        <f>(N17-L17)/L17</f>
        <v>7.0564767741270573E-2</v>
      </c>
      <c r="O18" s="239">
        <f>(O17-N17)/N17</f>
        <v>0.12073528233692807</v>
      </c>
      <c r="Q18" s="113">
        <v>15</v>
      </c>
      <c r="R18" s="120" t="s">
        <v>165</v>
      </c>
      <c r="S18" s="236">
        <f>25810700.56*M5</f>
        <v>2142936.9556450089</v>
      </c>
      <c r="T18" s="236">
        <f>25810700.56*M6</f>
        <v>2189486.7801081794</v>
      </c>
      <c r="U18" s="236">
        <f>25810700.56*M7</f>
        <v>2047635.0068245882</v>
      </c>
      <c r="V18" s="236">
        <f>25810700.56*M8</f>
        <v>2123813.8772261757</v>
      </c>
      <c r="W18" s="236">
        <f>25810700.56*M9</f>
        <v>2100988.5295632752</v>
      </c>
      <c r="X18" s="236">
        <f>25810700.56*M10</f>
        <v>1909678.0969767747</v>
      </c>
      <c r="Y18" s="236">
        <f>25810700.56*M11</f>
        <v>2234467.4395445231</v>
      </c>
      <c r="Z18" s="236">
        <f>25810700.56*M12</f>
        <v>1951747.9957671738</v>
      </c>
      <c r="AA18" s="236">
        <f>25810700.56*M13</f>
        <v>1931223.440468336</v>
      </c>
      <c r="AB18" s="236">
        <f>25810700.56*M14</f>
        <v>2096807.4071729716</v>
      </c>
      <c r="AC18" s="236">
        <f>25810700.56*M15</f>
        <v>1957327.3090317775</v>
      </c>
      <c r="AD18" s="236">
        <f>25810700.56*M16</f>
        <v>3124587.7216712097</v>
      </c>
      <c r="AE18" s="48">
        <f t="shared" si="3"/>
        <v>25810700.559999995</v>
      </c>
      <c r="AF18" s="231">
        <f t="shared" si="1"/>
        <v>0.18386595794845489</v>
      </c>
    </row>
    <row r="19" spans="1:32">
      <c r="A19" s="242"/>
      <c r="B19" s="242"/>
      <c r="C19" s="242"/>
      <c r="D19" s="242"/>
      <c r="E19" s="242"/>
      <c r="F19" s="242"/>
      <c r="G19" s="242"/>
      <c r="H19" s="242"/>
      <c r="I19" s="242"/>
      <c r="J19" s="242"/>
      <c r="K19" s="242"/>
      <c r="L19" s="64">
        <f>140377810.27-L17</f>
        <v>-2.3809671401977539E-3</v>
      </c>
      <c r="M19" s="242"/>
      <c r="N19" s="243"/>
      <c r="O19" s="243"/>
      <c r="P19" s="227"/>
      <c r="Q19" s="113">
        <v>16</v>
      </c>
      <c r="R19" s="120" t="s">
        <v>166</v>
      </c>
      <c r="S19" s="236">
        <f>4416737.33*M5</f>
        <v>366700.22287197714</v>
      </c>
      <c r="T19" s="236">
        <f>4416737.33*M6</f>
        <v>374665.84732039127</v>
      </c>
      <c r="U19" s="236">
        <f>4416737.33*M7</f>
        <v>350392.11554267723</v>
      </c>
      <c r="V19" s="236">
        <f>4416737.33*M8</f>
        <v>363427.87409862108</v>
      </c>
      <c r="W19" s="236">
        <f>4416737.33*M9</f>
        <v>359521.99154194235</v>
      </c>
      <c r="X19" s="236">
        <f>4416737.33*M10</f>
        <v>326784.87434285594</v>
      </c>
      <c r="Y19" s="236">
        <f>4416737.33*M11</f>
        <v>382362.9556262542</v>
      </c>
      <c r="Z19" s="236">
        <f>4416737.33*M12</f>
        <v>333983.89213103789</v>
      </c>
      <c r="AA19" s="236">
        <f>4416737.33*M13</f>
        <v>330471.72207740851</v>
      </c>
      <c r="AB19" s="236">
        <f>4416737.33*M14</f>
        <v>358806.51621806948</v>
      </c>
      <c r="AC19" s="236">
        <f>4416737.33*M15</f>
        <v>334938.62643258291</v>
      </c>
      <c r="AD19" s="236">
        <f>4416737.33*M16</f>
        <v>534680.69179618126</v>
      </c>
      <c r="AE19" s="48">
        <f>SUM(S19:AD19)</f>
        <v>4416737.3299999982</v>
      </c>
      <c r="AF19" s="231">
        <f t="shared" si="1"/>
        <v>3.1463215742608686E-2</v>
      </c>
    </row>
    <row r="20" spans="1:32">
      <c r="A20" s="226" t="s">
        <v>296</v>
      </c>
      <c r="B20" s="801" t="s">
        <v>326</v>
      </c>
      <c r="C20" s="801"/>
      <c r="D20" s="801"/>
      <c r="E20" s="801"/>
      <c r="F20" s="801"/>
      <c r="G20" s="801"/>
      <c r="H20" s="801"/>
      <c r="I20" s="801"/>
      <c r="J20" s="801"/>
      <c r="K20" s="801"/>
      <c r="L20" s="801" t="s">
        <v>298</v>
      </c>
      <c r="M20" s="801"/>
      <c r="N20" s="801" t="s">
        <v>299</v>
      </c>
      <c r="O20" s="801"/>
      <c r="P20" s="66"/>
      <c r="Q20" s="244" t="s">
        <v>327</v>
      </c>
      <c r="R20" s="120" t="s">
        <v>312</v>
      </c>
      <c r="S20" s="48">
        <f t="shared" ref="S20:AD20" si="6">SUM(S4:S19)</f>
        <v>11656177.993336219</v>
      </c>
      <c r="T20" s="48">
        <f t="shared" si="6"/>
        <v>11901795.705152275</v>
      </c>
      <c r="U20" s="48">
        <f t="shared" si="6"/>
        <v>11153322.249607213</v>
      </c>
      <c r="V20" s="48">
        <f t="shared" si="6"/>
        <v>11555276.071185496</v>
      </c>
      <c r="W20" s="48">
        <f t="shared" si="6"/>
        <v>11434839.319188649</v>
      </c>
      <c r="X20" s="48">
        <f t="shared" si="6"/>
        <v>10425399.837078189</v>
      </c>
      <c r="Y20" s="48">
        <f t="shared" si="6"/>
        <v>12139133.799852779</v>
      </c>
      <c r="Z20" s="48">
        <f t="shared" si="6"/>
        <v>10647379.455613729</v>
      </c>
      <c r="AA20" s="48">
        <f t="shared" si="6"/>
        <v>10539082.714075398</v>
      </c>
      <c r="AB20" s="48">
        <f t="shared" si="6"/>
        <v>11412777.845785208</v>
      </c>
      <c r="AC20" s="48">
        <f>SUM(AC4:AC19)</f>
        <v>10676818.409967704</v>
      </c>
      <c r="AD20" s="48">
        <f t="shared" si="6"/>
        <v>16835806.869157109</v>
      </c>
      <c r="AE20" s="48">
        <f>SUM(AE4:AE19)</f>
        <v>140377810.26999998</v>
      </c>
      <c r="AF20" s="147">
        <f>SUM(AF4:AF19)</f>
        <v>1</v>
      </c>
    </row>
    <row r="21" spans="1:32">
      <c r="A21" s="229" t="s">
        <v>313</v>
      </c>
      <c r="B21" s="229">
        <f>B4</f>
        <v>2016</v>
      </c>
      <c r="C21" s="230" t="s">
        <v>314</v>
      </c>
      <c r="D21" s="229">
        <f>D4</f>
        <v>2017</v>
      </c>
      <c r="E21" s="229"/>
      <c r="F21" s="229">
        <f>F4</f>
        <v>2018</v>
      </c>
      <c r="G21" s="230" t="s">
        <v>314</v>
      </c>
      <c r="H21" s="229">
        <f>H4</f>
        <v>2019</v>
      </c>
      <c r="I21" s="230" t="s">
        <v>314</v>
      </c>
      <c r="J21" s="229">
        <f>J4</f>
        <v>2020</v>
      </c>
      <c r="K21" s="230" t="s">
        <v>314</v>
      </c>
      <c r="L21" s="229">
        <f>L4</f>
        <v>2021</v>
      </c>
      <c r="M21" s="229" t="s">
        <v>314</v>
      </c>
      <c r="N21" s="229">
        <f>N4</f>
        <v>2022</v>
      </c>
      <c r="O21" s="229">
        <f>O4</f>
        <v>2023</v>
      </c>
      <c r="P21" s="235"/>
      <c r="Q21" s="360"/>
      <c r="R21" s="361" t="s">
        <v>328</v>
      </c>
      <c r="S21" s="239">
        <f>S20/$AE$20</f>
        <v>8.3034334065454865E-2</v>
      </c>
      <c r="T21" s="239">
        <f t="shared" ref="T21:AC21" si="7">T20/$AE$20</f>
        <v>8.47840244997453E-2</v>
      </c>
      <c r="U21" s="239">
        <f t="shared" si="7"/>
        <v>7.9452174301302511E-2</v>
      </c>
      <c r="V21" s="239">
        <f t="shared" si="7"/>
        <v>8.2315545804285586E-2</v>
      </c>
      <c r="W21" s="239">
        <f t="shared" si="7"/>
        <v>8.1457598584812649E-2</v>
      </c>
      <c r="X21" s="239">
        <f t="shared" si="7"/>
        <v>7.4266722190823295E-2</v>
      </c>
      <c r="Y21" s="239">
        <f t="shared" si="7"/>
        <v>8.6474733980424698E-2</v>
      </c>
      <c r="Z21" s="239">
        <f t="shared" si="7"/>
        <v>7.5848023524051011E-2</v>
      </c>
      <c r="AA21" s="239">
        <f t="shared" si="7"/>
        <v>7.5076557283553072E-2</v>
      </c>
      <c r="AB21" s="239">
        <f>AB20/$AE$20</f>
        <v>8.1300440745115554E-2</v>
      </c>
      <c r="AC21" s="239">
        <f t="shared" si="7"/>
        <v>7.6057735830414488E-2</v>
      </c>
      <c r="AD21" s="239">
        <f>AD20/$AE$20</f>
        <v>0.11993210919001687</v>
      </c>
      <c r="AE21" s="239">
        <f>AE20/$AE$20</f>
        <v>1</v>
      </c>
      <c r="AF21" s="64"/>
    </row>
    <row r="22" spans="1:32">
      <c r="A22" s="226" t="s">
        <v>131</v>
      </c>
      <c r="B22" s="48">
        <v>5345719.25</v>
      </c>
      <c r="C22" s="233">
        <f>B22/B34</f>
        <v>5.8274466170036884E-2</v>
      </c>
      <c r="D22" s="48">
        <v>5981651.0099999998</v>
      </c>
      <c r="E22" s="233">
        <f>D22/D34</f>
        <v>6.2053543707761512E-2</v>
      </c>
      <c r="F22" s="48">
        <v>7670864.2400000002</v>
      </c>
      <c r="G22" s="233">
        <f>F22/F34</f>
        <v>7.2802734232698077E-2</v>
      </c>
      <c r="H22" s="48">
        <v>7979821.7400000002</v>
      </c>
      <c r="I22" s="233">
        <f>H22/H34</f>
        <v>6.8577942666855726E-2</v>
      </c>
      <c r="J22" s="48">
        <f>7671797.23</f>
        <v>7671797.2300000004</v>
      </c>
      <c r="K22" s="233">
        <f>J22/J34</f>
        <v>6.2068218910190799E-2</v>
      </c>
      <c r="L22" s="48">
        <v>9502229.8300000001</v>
      </c>
      <c r="M22" s="233">
        <f>L22/L34</f>
        <v>7.2049163938977437E-2</v>
      </c>
      <c r="N22" s="234">
        <f>(F22+H22+J22+L22)/3.2</f>
        <v>10257722.824999999</v>
      </c>
      <c r="O22" s="234">
        <f>(H22+J22+L22+N22)/3.3</f>
        <v>10730779.280303031</v>
      </c>
      <c r="P22" s="235"/>
      <c r="Q22" s="245" t="s">
        <v>329</v>
      </c>
      <c r="R22" s="246"/>
      <c r="S22" s="239" t="s">
        <v>330</v>
      </c>
      <c r="T22" s="247">
        <f>S20+T20</f>
        <v>23557973.698488496</v>
      </c>
      <c r="U22" s="239" t="s">
        <v>331</v>
      </c>
      <c r="V22" s="248">
        <f>U20+V20</f>
        <v>22708598.320792709</v>
      </c>
      <c r="W22" s="239" t="s">
        <v>332</v>
      </c>
      <c r="X22" s="248">
        <f>W20+X20</f>
        <v>21860239.156266838</v>
      </c>
      <c r="Y22" s="239" t="s">
        <v>333</v>
      </c>
      <c r="Z22" s="248">
        <f>Y20+Z20</f>
        <v>22786513.255466506</v>
      </c>
      <c r="AA22" s="239" t="s">
        <v>334</v>
      </c>
      <c r="AB22" s="248">
        <f>AA20+AB20</f>
        <v>21951860.559860606</v>
      </c>
      <c r="AC22" s="239" t="s">
        <v>335</v>
      </c>
      <c r="AD22" s="248">
        <f>AC20+AD20</f>
        <v>27512625.279124811</v>
      </c>
      <c r="AE22" s="48">
        <f>SUM(S22:AD22)</f>
        <v>140377810.26999998</v>
      </c>
      <c r="AF22" s="137">
        <f>140377810.27-AE20</f>
        <v>0</v>
      </c>
    </row>
    <row r="23" spans="1:32">
      <c r="A23" s="226" t="s">
        <v>132</v>
      </c>
      <c r="B23" s="48">
        <v>5798452.0499999998</v>
      </c>
      <c r="C23" s="233">
        <f>B23/B34</f>
        <v>6.3209772534595046E-2</v>
      </c>
      <c r="D23" s="48">
        <v>6665778.9299999997</v>
      </c>
      <c r="E23" s="233">
        <f>D23/D34</f>
        <v>6.9150674870119305E-2</v>
      </c>
      <c r="F23" s="48">
        <f>7361356.62+32710.31</f>
        <v>7394066.9299999997</v>
      </c>
      <c r="G23" s="233">
        <f>F23/F34</f>
        <v>7.0175702862337666E-2</v>
      </c>
      <c r="H23" s="48">
        <v>7902084.6200000001</v>
      </c>
      <c r="I23" s="233">
        <f>H23/H34</f>
        <v>6.7909876144551864E-2</v>
      </c>
      <c r="J23" s="48">
        <f>8682002.48</f>
        <v>8682002.4800000004</v>
      </c>
      <c r="K23" s="233">
        <f>J23/J34</f>
        <v>7.024122436398901E-2</v>
      </c>
      <c r="L23" s="48">
        <v>9870035.4800000004</v>
      </c>
      <c r="M23" s="233">
        <f>L23/L34</f>
        <v>7.4837992461190966E-2</v>
      </c>
      <c r="N23" s="234">
        <f t="shared" ref="N23:N33" si="8">(F23+H23+J23+L23)/3</f>
        <v>11282729.836666668</v>
      </c>
      <c r="O23" s="234">
        <f t="shared" ref="O23:O33" si="9">(H23+J23+L23+N23)/3.3</f>
        <v>11435409.823232325</v>
      </c>
      <c r="P23" s="235"/>
      <c r="Q23" s="113" t="s">
        <v>148</v>
      </c>
      <c r="R23" s="228" t="s">
        <v>149</v>
      </c>
      <c r="S23" s="113" t="s">
        <v>300</v>
      </c>
      <c r="T23" s="113" t="s">
        <v>301</v>
      </c>
      <c r="U23" s="113" t="s">
        <v>302</v>
      </c>
      <c r="V23" s="113" t="s">
        <v>303</v>
      </c>
      <c r="W23" s="113" t="s">
        <v>304</v>
      </c>
      <c r="X23" s="113" t="s">
        <v>305</v>
      </c>
      <c r="Y23" s="113" t="s">
        <v>306</v>
      </c>
      <c r="Z23" s="113" t="s">
        <v>307</v>
      </c>
      <c r="AA23" s="113" t="s">
        <v>308</v>
      </c>
      <c r="AB23" s="113" t="s">
        <v>309</v>
      </c>
      <c r="AC23" s="113" t="s">
        <v>310</v>
      </c>
      <c r="AD23" s="113" t="s">
        <v>311</v>
      </c>
      <c r="AE23" s="113" t="s">
        <v>312</v>
      </c>
    </row>
    <row r="24" spans="1:32">
      <c r="A24" s="226" t="s">
        <v>133</v>
      </c>
      <c r="B24" s="48">
        <v>5890259.2999999998</v>
      </c>
      <c r="C24" s="233">
        <f>B24/B34</f>
        <v>6.4210576773292977E-2</v>
      </c>
      <c r="D24" s="48">
        <v>7484694.0499999998</v>
      </c>
      <c r="E24" s="233">
        <f>D24/D34</f>
        <v>7.7646086104728729E-2</v>
      </c>
      <c r="F24" s="48">
        <v>8190765.7999999998</v>
      </c>
      <c r="G24" s="233">
        <f>F24/F34</f>
        <v>7.7737022458328961E-2</v>
      </c>
      <c r="H24" s="48">
        <f>9215305.68</f>
        <v>9215305.6799999997</v>
      </c>
      <c r="I24" s="233">
        <f>H24/H34</f>
        <v>7.9195591727665562E-2</v>
      </c>
      <c r="J24" s="48">
        <v>9514390.5500000007</v>
      </c>
      <c r="K24" s="233">
        <f>J24/J34</f>
        <v>7.6975610505603864E-2</v>
      </c>
      <c r="L24" s="48">
        <f>((D24+F24+H24+J24)/3.4)+226036</f>
        <v>10345199.552941177</v>
      </c>
      <c r="M24" s="233">
        <f>L24/L34</f>
        <v>7.8440849348651781E-2</v>
      </c>
      <c r="N24" s="234">
        <f t="shared" si="8"/>
        <v>12421887.194313725</v>
      </c>
      <c r="O24" s="234">
        <f t="shared" si="9"/>
        <v>12574782.720380275</v>
      </c>
      <c r="P24" s="235"/>
      <c r="Q24" s="113">
        <v>1</v>
      </c>
      <c r="R24" s="120" t="s">
        <v>152</v>
      </c>
      <c r="S24" s="115">
        <v>272500.59999999998</v>
      </c>
      <c r="T24" s="115">
        <v>288816.56</v>
      </c>
      <c r="U24" s="115">
        <v>271577.03000000003</v>
      </c>
      <c r="V24" s="115">
        <f>261884.04</f>
        <v>261884.04</v>
      </c>
      <c r="W24" s="115">
        <v>286697.43</v>
      </c>
      <c r="X24" s="115">
        <v>287331.03000000003</v>
      </c>
      <c r="Y24" s="115"/>
      <c r="Z24" s="115"/>
      <c r="AA24" s="115"/>
      <c r="AB24" s="115"/>
      <c r="AC24" s="115"/>
      <c r="AD24" s="115"/>
      <c r="AE24" s="48">
        <f>SUM(S24:AD24)</f>
        <v>1668806.69</v>
      </c>
      <c r="AF24" s="239">
        <f>AE24/$AE$40</f>
        <v>2.6691621007968687E-2</v>
      </c>
    </row>
    <row r="25" spans="1:32">
      <c r="A25" s="226" t="s">
        <v>134</v>
      </c>
      <c r="B25" s="48">
        <v>7183262.2999999998</v>
      </c>
      <c r="C25" s="233">
        <f>B25/B34</f>
        <v>7.8305791291200216E-2</v>
      </c>
      <c r="D25" s="48">
        <f>7391916.3-2329.01</f>
        <v>7389587.29</v>
      </c>
      <c r="E25" s="233">
        <f>D25/D34</f>
        <v>7.6659450227995488E-2</v>
      </c>
      <c r="F25" s="48">
        <v>7513399.3099999996</v>
      </c>
      <c r="G25" s="233">
        <f>F25/F34</f>
        <v>7.1308264106374933E-2</v>
      </c>
      <c r="H25" s="48">
        <v>9663995.9100000001</v>
      </c>
      <c r="I25" s="233">
        <f>H25/H34</f>
        <v>8.3051599276540752E-2</v>
      </c>
      <c r="J25" s="48">
        <f>10634576.05</f>
        <v>10634576.050000001</v>
      </c>
      <c r="K25" s="233">
        <f>J25/J34</f>
        <v>8.6038404626665579E-2</v>
      </c>
      <c r="L25" s="48">
        <f t="shared" ref="L25:L33" si="10">((D25+F25+H25+J25)/3.4)</f>
        <v>10353399.576470589</v>
      </c>
      <c r="M25" s="233">
        <f>L25/L34</f>
        <v>7.8503024738022897E-2</v>
      </c>
      <c r="N25" s="234">
        <f t="shared" si="8"/>
        <v>12721790.282156862</v>
      </c>
      <c r="O25" s="234">
        <f t="shared" si="9"/>
        <v>13143564.187462866</v>
      </c>
      <c r="P25" s="235"/>
      <c r="Q25" s="113">
        <v>2</v>
      </c>
      <c r="R25" s="120" t="s">
        <v>153</v>
      </c>
      <c r="S25" s="115">
        <v>181653.21</v>
      </c>
      <c r="T25" s="115">
        <v>174100.48000000001</v>
      </c>
      <c r="U25" s="115">
        <v>170867.34</v>
      </c>
      <c r="V25" s="115">
        <f>161288.32</f>
        <v>161288.32000000001</v>
      </c>
      <c r="W25" s="115">
        <v>166287.82</v>
      </c>
      <c r="X25" s="115">
        <v>178182.14</v>
      </c>
      <c r="Y25" s="115"/>
      <c r="Z25" s="115"/>
      <c r="AA25" s="115"/>
      <c r="AB25" s="115"/>
      <c r="AC25" s="115"/>
      <c r="AD25" s="115"/>
      <c r="AE25" s="48">
        <f t="shared" ref="AE25:AE39" si="11">SUM(S25:AD25)</f>
        <v>1032379.3100000002</v>
      </c>
      <c r="AF25" s="239">
        <f t="shared" ref="AF25:AF40" si="12">AE25/$AE$40</f>
        <v>1.6512324311804036E-2</v>
      </c>
    </row>
    <row r="26" spans="1:32">
      <c r="A26" s="226" t="s">
        <v>315</v>
      </c>
      <c r="B26" s="48">
        <v>6519507.1299999999</v>
      </c>
      <c r="C26" s="233">
        <f>B26/B34</f>
        <v>7.1070099256054134E-2</v>
      </c>
      <c r="D26" s="48">
        <v>8056881.3700000001</v>
      </c>
      <c r="E26" s="233">
        <f>D26/D34</f>
        <v>8.3581947426508998E-2</v>
      </c>
      <c r="F26" s="48">
        <v>8332242.9400000004</v>
      </c>
      <c r="G26" s="233">
        <f>F26/F34</f>
        <v>7.9079755467435411E-2</v>
      </c>
      <c r="H26" s="48">
        <f>9721771.29</f>
        <v>9721771.2899999991</v>
      </c>
      <c r="I26" s="233">
        <f>H26/H34</f>
        <v>8.3548116219686872E-2</v>
      </c>
      <c r="J26" s="48">
        <f>8693274.76</f>
        <v>8693274.7599999998</v>
      </c>
      <c r="K26" s="233">
        <f>J26/J34</f>
        <v>7.0332422074470852E-2</v>
      </c>
      <c r="L26" s="48">
        <f t="shared" si="10"/>
        <v>10236520.694117647</v>
      </c>
      <c r="M26" s="233">
        <f>L26/L34</f>
        <v>7.761680898589858E-2</v>
      </c>
      <c r="N26" s="234">
        <f t="shared" si="8"/>
        <v>12327936.561372548</v>
      </c>
      <c r="O26" s="234">
        <f t="shared" si="9"/>
        <v>12418031.304693999</v>
      </c>
      <c r="P26" s="235"/>
      <c r="Q26" s="113">
        <v>3</v>
      </c>
      <c r="R26" s="120" t="s">
        <v>154</v>
      </c>
      <c r="S26" s="115">
        <v>57093.17</v>
      </c>
      <c r="T26" s="115">
        <v>52779.72</v>
      </c>
      <c r="U26" s="115">
        <v>60075</v>
      </c>
      <c r="V26" s="115">
        <f>55713.19</f>
        <v>55713.19</v>
      </c>
      <c r="W26" s="115">
        <v>52815.68</v>
      </c>
      <c r="X26" s="115">
        <v>61577.78</v>
      </c>
      <c r="Y26" s="115"/>
      <c r="Z26" s="115"/>
      <c r="AA26" s="115"/>
      <c r="AB26" s="115"/>
      <c r="AC26" s="115"/>
      <c r="AD26" s="115"/>
      <c r="AE26" s="48">
        <f t="shared" si="11"/>
        <v>340054.54000000004</v>
      </c>
      <c r="AF26" s="239">
        <f t="shared" si="12"/>
        <v>5.4389804152325935E-3</v>
      </c>
    </row>
    <row r="27" spans="1:32">
      <c r="A27" s="226" t="s">
        <v>316</v>
      </c>
      <c r="B27" s="48">
        <v>9389677.8399999999</v>
      </c>
      <c r="C27" s="233">
        <f>B27/B34</f>
        <v>0.10235824929164115</v>
      </c>
      <c r="D27" s="48">
        <v>8550639.5099999998</v>
      </c>
      <c r="E27" s="233">
        <f>D27/D34</f>
        <v>8.8704185796873739E-2</v>
      </c>
      <c r="F27" s="48">
        <v>9391234.2699999996</v>
      </c>
      <c r="G27" s="233">
        <f>F27/F34</f>
        <v>8.9130443622062613E-2</v>
      </c>
      <c r="H27" s="48">
        <v>9467660.9700000007</v>
      </c>
      <c r="I27" s="233">
        <f>H27/H34</f>
        <v>8.1364312680735101E-2</v>
      </c>
      <c r="J27" s="48">
        <f>10697988.26</f>
        <v>10697988.26</v>
      </c>
      <c r="K27" s="233">
        <f>J27/J34</f>
        <v>8.6551437337758094E-2</v>
      </c>
      <c r="L27" s="48">
        <f t="shared" si="10"/>
        <v>11208095.002941176</v>
      </c>
      <c r="M27" s="233">
        <f>L27/L34</f>
        <v>8.4983618451432749E-2</v>
      </c>
      <c r="N27" s="234">
        <f t="shared" si="8"/>
        <v>13588326.167647058</v>
      </c>
      <c r="O27" s="234">
        <f t="shared" si="9"/>
        <v>13624869.818360072</v>
      </c>
      <c r="P27" s="235"/>
      <c r="Q27" s="113">
        <v>4</v>
      </c>
      <c r="R27" s="120" t="s">
        <v>155</v>
      </c>
      <c r="S27" s="115">
        <v>124867.31</v>
      </c>
      <c r="T27" s="115">
        <v>125453.03</v>
      </c>
      <c r="U27" s="115">
        <f>138017.54</f>
        <v>138017.54</v>
      </c>
      <c r="V27" s="115">
        <f>128644.09</f>
        <v>128644.09</v>
      </c>
      <c r="W27" s="115">
        <v>132426.13</v>
      </c>
      <c r="X27" s="115">
        <v>135125.87</v>
      </c>
      <c r="Y27" s="115"/>
      <c r="Z27" s="115"/>
      <c r="AA27" s="115"/>
      <c r="AB27" s="115"/>
      <c r="AC27" s="115"/>
      <c r="AD27" s="115"/>
      <c r="AE27" s="48">
        <f t="shared" si="11"/>
        <v>784533.97</v>
      </c>
      <c r="AF27" s="239">
        <f t="shared" si="12"/>
        <v>1.2548178000842672E-2</v>
      </c>
    </row>
    <row r="28" spans="1:32">
      <c r="A28" s="226" t="s">
        <v>317</v>
      </c>
      <c r="B28" s="48">
        <v>7703386.96</v>
      </c>
      <c r="C28" s="233">
        <f>B28/B34</f>
        <v>8.3975746162730722E-2</v>
      </c>
      <c r="D28" s="48">
        <v>8123962.6100000003</v>
      </c>
      <c r="E28" s="233">
        <f>D28/D34</f>
        <v>8.427784704541888E-2</v>
      </c>
      <c r="F28" s="48">
        <f>8712975.37</f>
        <v>8712975.3699999992</v>
      </c>
      <c r="G28" s="233">
        <f>F28/F34</f>
        <v>8.2693215574123374E-2</v>
      </c>
      <c r="H28" s="48">
        <v>8718239.5999999996</v>
      </c>
      <c r="I28" s="233">
        <f>H28/H34</f>
        <v>7.4923846036278885E-2</v>
      </c>
      <c r="J28" s="48">
        <v>9134531.9900000002</v>
      </c>
      <c r="K28" s="233">
        <f>J28/J34</f>
        <v>7.3902387432815492E-2</v>
      </c>
      <c r="L28" s="48">
        <f t="shared" si="10"/>
        <v>10202855.755882353</v>
      </c>
      <c r="M28" s="233">
        <f>L28/L34</f>
        <v>7.7361549883845235E-2</v>
      </c>
      <c r="N28" s="234">
        <f t="shared" si="8"/>
        <v>12256200.905294118</v>
      </c>
      <c r="O28" s="234">
        <f t="shared" si="9"/>
        <v>12215705.530659536</v>
      </c>
      <c r="P28" s="235"/>
      <c r="Q28" s="113">
        <v>5</v>
      </c>
      <c r="R28" s="120" t="s">
        <v>156</v>
      </c>
      <c r="S28" s="115">
        <v>641306.12</v>
      </c>
      <c r="T28" s="115">
        <v>675401.63</v>
      </c>
      <c r="U28" s="115">
        <v>760919.67</v>
      </c>
      <c r="V28" s="115">
        <f>602770.84</f>
        <v>602770.84</v>
      </c>
      <c r="W28" s="115">
        <v>674830.82</v>
      </c>
      <c r="X28" s="115">
        <v>643394.65</v>
      </c>
      <c r="Y28" s="115"/>
      <c r="Z28" s="115"/>
      <c r="AA28" s="115"/>
      <c r="AB28" s="115"/>
      <c r="AC28" s="115"/>
      <c r="AD28" s="115"/>
      <c r="AE28" s="48">
        <f t="shared" si="11"/>
        <v>3998623.7299999995</v>
      </c>
      <c r="AF28" s="239">
        <f t="shared" si="12"/>
        <v>6.3955729440795861E-2</v>
      </c>
    </row>
    <row r="29" spans="1:32">
      <c r="A29" s="226" t="s">
        <v>318</v>
      </c>
      <c r="B29" s="48">
        <v>8109803.2000000002</v>
      </c>
      <c r="C29" s="233">
        <f>B29/B34</f>
        <v>8.8406148943204768E-2</v>
      </c>
      <c r="D29" s="48">
        <v>8191361.8700000001</v>
      </c>
      <c r="E29" s="233">
        <f>D29/D34</f>
        <v>8.4977045798286396E-2</v>
      </c>
      <c r="F29" s="48">
        <f>8881833.91</f>
        <v>8881833.9100000001</v>
      </c>
      <c r="G29" s="233">
        <f>F29/F34</f>
        <v>8.429582031668123E-2</v>
      </c>
      <c r="H29" s="48">
        <v>9251295.0899999999</v>
      </c>
      <c r="I29" s="233">
        <f>H29/H34</f>
        <v>7.9504881806568256E-2</v>
      </c>
      <c r="J29" s="48">
        <f>9036456.79</f>
        <v>9036456.7899999991</v>
      </c>
      <c r="K29" s="233">
        <f>J29/J34</f>
        <v>7.3108915864060181E-2</v>
      </c>
      <c r="L29" s="48">
        <f t="shared" si="10"/>
        <v>10400278.723529411</v>
      </c>
      <c r="M29" s="233">
        <f>L29/L34</f>
        <v>7.8858478501211929E-2</v>
      </c>
      <c r="N29" s="234">
        <f t="shared" si="8"/>
        <v>12523288.171176471</v>
      </c>
      <c r="O29" s="234">
        <f t="shared" si="9"/>
        <v>12488278.41657754</v>
      </c>
      <c r="P29" s="235"/>
      <c r="Q29" s="113">
        <v>6</v>
      </c>
      <c r="R29" s="120" t="s">
        <v>157</v>
      </c>
      <c r="S29" s="115">
        <v>259694.11</v>
      </c>
      <c r="T29" s="115">
        <v>254528.62</v>
      </c>
      <c r="U29" s="115">
        <f>265796.65</f>
        <v>265796.65000000002</v>
      </c>
      <c r="V29" s="115">
        <f>229132.76</f>
        <v>229132.76</v>
      </c>
      <c r="W29" s="115">
        <v>279843.40000000002</v>
      </c>
      <c r="X29" s="115">
        <v>252792.81</v>
      </c>
      <c r="Y29" s="115"/>
      <c r="Z29" s="115"/>
      <c r="AA29" s="115"/>
      <c r="AB29" s="115"/>
      <c r="AC29" s="115"/>
      <c r="AD29" s="115"/>
      <c r="AE29" s="48">
        <f t="shared" si="11"/>
        <v>1541788.35</v>
      </c>
      <c r="AF29" s="239">
        <f t="shared" si="12"/>
        <v>2.4660034358264336E-2</v>
      </c>
    </row>
    <row r="30" spans="1:32">
      <c r="A30" s="226" t="s">
        <v>319</v>
      </c>
      <c r="B30" s="48">
        <v>7384516.1600000001</v>
      </c>
      <c r="C30" s="233">
        <f>B30/B34</f>
        <v>8.0499689007800163E-2</v>
      </c>
      <c r="D30" s="48">
        <f>7555140.76</f>
        <v>7555140.7599999998</v>
      </c>
      <c r="E30" s="233">
        <f>D30/D34</f>
        <v>7.8376899050977986E-2</v>
      </c>
      <c r="F30" s="48">
        <v>8405663.2300000004</v>
      </c>
      <c r="G30" s="233">
        <f>F30/F34</f>
        <v>7.9776573673692397E-2</v>
      </c>
      <c r="H30" s="48">
        <f>9019781.08</f>
        <v>9019781.0800000001</v>
      </c>
      <c r="I30" s="233">
        <f>H30/H34</f>
        <v>7.7515269128283798E-2</v>
      </c>
      <c r="J30" s="48">
        <f>10105595.49</f>
        <v>10105595.49</v>
      </c>
      <c r="K30" s="233">
        <f>J30/J34</f>
        <v>8.1758718887719711E-2</v>
      </c>
      <c r="L30" s="48">
        <f t="shared" si="10"/>
        <v>10319464.870588236</v>
      </c>
      <c r="M30" s="233">
        <f>L30/L34</f>
        <v>7.82457201651931E-2</v>
      </c>
      <c r="N30" s="234">
        <f t="shared" si="8"/>
        <v>12616834.890196079</v>
      </c>
      <c r="O30" s="234">
        <f t="shared" si="9"/>
        <v>12745962.524480095</v>
      </c>
      <c r="P30" s="235"/>
      <c r="Q30" s="113">
        <v>7</v>
      </c>
      <c r="R30" s="120" t="s">
        <v>158</v>
      </c>
      <c r="S30" s="115">
        <v>58851.92</v>
      </c>
      <c r="T30" s="115">
        <v>50153.599999999999</v>
      </c>
      <c r="U30" s="115">
        <f>55556.25</f>
        <v>55556.25</v>
      </c>
      <c r="V30" s="115">
        <f>58785.61</f>
        <v>58785.61</v>
      </c>
      <c r="W30" s="115">
        <v>62776.26</v>
      </c>
      <c r="X30" s="115">
        <v>58566.02</v>
      </c>
      <c r="Y30" s="115"/>
      <c r="Z30" s="115"/>
      <c r="AA30" s="115"/>
      <c r="AB30" s="115"/>
      <c r="AC30" s="115"/>
      <c r="AD30" s="115"/>
      <c r="AE30" s="48">
        <f t="shared" si="11"/>
        <v>344689.66000000003</v>
      </c>
      <c r="AF30" s="239">
        <f t="shared" si="12"/>
        <v>5.5131165432262168E-3</v>
      </c>
    </row>
    <row r="31" spans="1:32">
      <c r="A31" s="226" t="s">
        <v>321</v>
      </c>
      <c r="B31" s="48">
        <v>7353919.7400000002</v>
      </c>
      <c r="C31" s="233">
        <f>B31/B34</f>
        <v>8.0166152965439857E-2</v>
      </c>
      <c r="D31" s="48">
        <v>7682619.8700000001</v>
      </c>
      <c r="E31" s="233">
        <f>D31/D34</f>
        <v>7.9699365124472898E-2</v>
      </c>
      <c r="F31" s="48">
        <v>8594186.0700000003</v>
      </c>
      <c r="G31" s="233">
        <f>F31/F34</f>
        <v>8.1565808600539885E-2</v>
      </c>
      <c r="H31" s="48">
        <f>9257306.49</f>
        <v>9257306.4900000002</v>
      </c>
      <c r="I31" s="233">
        <f>H31/H34</f>
        <v>7.9556543291997323E-2</v>
      </c>
      <c r="J31" s="48">
        <v>9996580.7100000009</v>
      </c>
      <c r="K31" s="233">
        <f>J31/J34</f>
        <v>8.0876741298032268E-2</v>
      </c>
      <c r="L31" s="48">
        <f t="shared" si="10"/>
        <v>10450203.864705883</v>
      </c>
      <c r="M31" s="233">
        <f>L31/L34</f>
        <v>7.9237028035968882E-2</v>
      </c>
      <c r="N31" s="234">
        <f t="shared" si="8"/>
        <v>12766092.378235295</v>
      </c>
      <c r="O31" s="234">
        <f t="shared" si="9"/>
        <v>12869752.558467025</v>
      </c>
      <c r="P31" s="235"/>
      <c r="Q31" s="113">
        <v>8</v>
      </c>
      <c r="R31" s="120" t="s">
        <v>159</v>
      </c>
      <c r="S31" s="115">
        <v>740885.48</v>
      </c>
      <c r="T31" s="115">
        <v>589309.21</v>
      </c>
      <c r="U31" s="115">
        <v>913485.51</v>
      </c>
      <c r="V31" s="115">
        <f>783014.71</f>
        <v>783014.71</v>
      </c>
      <c r="W31" s="115">
        <v>1038389.12</v>
      </c>
      <c r="X31" s="115">
        <v>974893.93</v>
      </c>
      <c r="Y31" s="115"/>
      <c r="Z31" s="115"/>
      <c r="AA31" s="115"/>
      <c r="AB31" s="115"/>
      <c r="AC31" s="115"/>
      <c r="AD31" s="115"/>
      <c r="AE31" s="48">
        <f t="shared" si="11"/>
        <v>5039977.96</v>
      </c>
      <c r="AF31" s="239">
        <f t="shared" si="12"/>
        <v>8.0611602531887719E-2</v>
      </c>
    </row>
    <row r="32" spans="1:32">
      <c r="A32" s="226" t="s">
        <v>322</v>
      </c>
      <c r="B32" s="48">
        <v>7912382.3799999999</v>
      </c>
      <c r="C32" s="233">
        <f>B32/B34</f>
        <v>8.6254035755376782E-2</v>
      </c>
      <c r="D32" s="48">
        <v>8077679.6399999997</v>
      </c>
      <c r="E32" s="233">
        <f>D32/D34</f>
        <v>8.3797708318331873E-2</v>
      </c>
      <c r="F32" s="48">
        <v>8884947.5199999996</v>
      </c>
      <c r="G32" s="233">
        <f>F32/F34</f>
        <v>8.4325371005396624E-2</v>
      </c>
      <c r="H32" s="48">
        <v>9510627.3300000001</v>
      </c>
      <c r="I32" s="233">
        <f>H32/H34</f>
        <v>8.1733562103678159E-2</v>
      </c>
      <c r="J32" s="48">
        <f>10537885.72</f>
        <v>10537885.720000001</v>
      </c>
      <c r="K32" s="233">
        <f>J32/J34</f>
        <v>8.5256137266226148E-2</v>
      </c>
      <c r="L32" s="48">
        <f t="shared" si="10"/>
        <v>10885629.473529411</v>
      </c>
      <c r="M32" s="233">
        <f>L32/L34</f>
        <v>8.2538574266129414E-2</v>
      </c>
      <c r="N32" s="234">
        <f t="shared" si="8"/>
        <v>13273030.014509805</v>
      </c>
      <c r="O32" s="234">
        <f t="shared" si="9"/>
        <v>13396112.890314914</v>
      </c>
      <c r="P32" s="235"/>
      <c r="Q32" s="113">
        <v>9</v>
      </c>
      <c r="R32" s="120" t="s">
        <v>160</v>
      </c>
      <c r="S32" s="115">
        <v>2501144.19</v>
      </c>
      <c r="T32" s="115">
        <v>2645212.89</v>
      </c>
      <c r="U32" s="115">
        <f>2707776.74</f>
        <v>2707776.74</v>
      </c>
      <c r="V32" s="115">
        <f>2760789.37</f>
        <v>2760789.37</v>
      </c>
      <c r="W32" s="115">
        <v>2538135.12</v>
      </c>
      <c r="X32" s="115">
        <v>2596091.34</v>
      </c>
      <c r="Y32" s="115"/>
      <c r="Z32" s="115"/>
      <c r="AA32" s="115"/>
      <c r="AB32" s="115"/>
      <c r="AC32" s="115"/>
      <c r="AD32" s="115"/>
      <c r="AE32" s="48">
        <f t="shared" si="11"/>
        <v>15749149.650000002</v>
      </c>
      <c r="AF32" s="239">
        <f t="shared" si="12"/>
        <v>0.25189875866064676</v>
      </c>
    </row>
    <row r="33" spans="1:33">
      <c r="A33" s="226" t="s">
        <v>323</v>
      </c>
      <c r="B33" s="48">
        <v>13142588.08</v>
      </c>
      <c r="C33" s="233">
        <f>B33/B34</f>
        <v>0.14326927184862728</v>
      </c>
      <c r="D33" s="48">
        <v>12634997.68</v>
      </c>
      <c r="E33" s="233">
        <f>D33/D34</f>
        <v>0.13107524652852412</v>
      </c>
      <c r="F33" s="48">
        <v>13392877.380000001</v>
      </c>
      <c r="G33" s="233">
        <f>F33/F34</f>
        <v>0.12710928808032895</v>
      </c>
      <c r="H33" s="48">
        <f>15787827.89+865628.68</f>
        <v>16653456.57</v>
      </c>
      <c r="I33" s="233">
        <f>H33/H34</f>
        <v>0.14311845891715769</v>
      </c>
      <c r="J33" s="48">
        <v>18897584.34</v>
      </c>
      <c r="K33" s="233">
        <f>J33/J34</f>
        <v>0.15288978143246798</v>
      </c>
      <c r="L33" s="48">
        <f t="shared" si="10"/>
        <v>18111445.873529412</v>
      </c>
      <c r="M33" s="233">
        <f>L33/L34</f>
        <v>0.13732719122347697</v>
      </c>
      <c r="N33" s="234">
        <f t="shared" si="8"/>
        <v>22351788.054509807</v>
      </c>
      <c r="O33" s="234">
        <f t="shared" si="9"/>
        <v>23034628.738799766</v>
      </c>
      <c r="P33" s="235"/>
      <c r="Q33" s="113">
        <v>10</v>
      </c>
      <c r="R33" s="120" t="s">
        <v>161</v>
      </c>
      <c r="S33" s="115">
        <v>1923273.17</v>
      </c>
      <c r="T33" s="115">
        <v>1859487.61</v>
      </c>
      <c r="U33" s="115">
        <f>3319884.02</f>
        <v>3319884.02</v>
      </c>
      <c r="V33" s="115">
        <f>1694768.04</f>
        <v>1694768.04</v>
      </c>
      <c r="W33" s="115">
        <v>2841243.25</v>
      </c>
      <c r="X33" s="115">
        <v>2332380.98</v>
      </c>
      <c r="Y33" s="115"/>
      <c r="Z33" s="115"/>
      <c r="AA33" s="115"/>
      <c r="AB33" s="115"/>
      <c r="AC33" s="115"/>
      <c r="AD33" s="115"/>
      <c r="AE33" s="48">
        <f t="shared" si="11"/>
        <v>13971037.07</v>
      </c>
      <c r="AF33" s="239">
        <f t="shared" si="12"/>
        <v>0.2234588516424999</v>
      </c>
    </row>
    <row r="34" spans="1:33">
      <c r="A34" s="249" t="s">
        <v>286</v>
      </c>
      <c r="B34" s="234">
        <f>SUM(B22:B33)</f>
        <v>91733474.390000001</v>
      </c>
      <c r="C34" s="233">
        <f>B34/B34</f>
        <v>1</v>
      </c>
      <c r="D34" s="234">
        <f>SUM(D22:D33)</f>
        <v>96394994.590000004</v>
      </c>
      <c r="E34" s="233">
        <f>D34/D34</f>
        <v>1</v>
      </c>
      <c r="F34" s="237">
        <f>SUM(F22:F33)</f>
        <v>105365056.96999998</v>
      </c>
      <c r="G34" s="233">
        <f>F34/F34</f>
        <v>1</v>
      </c>
      <c r="H34" s="234">
        <f>SUM(H22:H33)</f>
        <v>116361346.37</v>
      </c>
      <c r="I34" s="233">
        <f>H34/H34</f>
        <v>1</v>
      </c>
      <c r="J34" s="234">
        <f>SUM(J22:J33)</f>
        <v>123602664.37</v>
      </c>
      <c r="K34" s="233">
        <f>J34/J34</f>
        <v>1</v>
      </c>
      <c r="L34" s="234">
        <f>SUM(L22:L33)</f>
        <v>131885358.6982353</v>
      </c>
      <c r="M34" s="233">
        <f>L34/L34</f>
        <v>1</v>
      </c>
      <c r="N34" s="234">
        <f>SUM(N22:N33)</f>
        <v>158387627.28107846</v>
      </c>
      <c r="O34" s="234">
        <f>SUM(O22:O33)</f>
        <v>160677877.79373145</v>
      </c>
      <c r="P34" s="235"/>
      <c r="Q34" s="113">
        <v>11</v>
      </c>
      <c r="R34" s="120" t="s">
        <v>162</v>
      </c>
      <c r="S34" s="115">
        <v>223988.11</v>
      </c>
      <c r="T34" s="115">
        <v>238926.62</v>
      </c>
      <c r="U34" s="115">
        <f>444544.53</f>
        <v>444544.53</v>
      </c>
      <c r="V34" s="115">
        <f>350230.29</f>
        <v>350230.29</v>
      </c>
      <c r="W34" s="115">
        <v>301969.11</v>
      </c>
      <c r="X34" s="115">
        <v>250021.63</v>
      </c>
      <c r="Y34" s="115"/>
      <c r="Z34" s="115"/>
      <c r="AA34" s="115"/>
      <c r="AB34" s="115"/>
      <c r="AC34" s="115"/>
      <c r="AD34" s="115"/>
      <c r="AE34" s="48">
        <f t="shared" si="11"/>
        <v>1809680.29</v>
      </c>
      <c r="AF34" s="239">
        <f t="shared" si="12"/>
        <v>2.8944814720434076E-2</v>
      </c>
    </row>
    <row r="35" spans="1:33">
      <c r="A35" s="797" t="s">
        <v>325</v>
      </c>
      <c r="B35" s="798"/>
      <c r="C35" s="250"/>
      <c r="D35" s="239">
        <v>6.0015320688915311E-2</v>
      </c>
      <c r="E35" s="242"/>
      <c r="F35" s="239">
        <v>0.20274498470762234</v>
      </c>
      <c r="G35" s="242"/>
      <c r="H35" s="239">
        <v>0.15953984091624773</v>
      </c>
      <c r="I35" s="242"/>
      <c r="J35" s="239">
        <v>6.1875221132593451E-2</v>
      </c>
      <c r="K35" s="242"/>
      <c r="L35" s="239">
        <v>0.11385731154850591</v>
      </c>
      <c r="M35" s="242"/>
      <c r="N35" s="239">
        <v>8.5121633034852109E-2</v>
      </c>
      <c r="O35" s="239">
        <v>6.910798377128255E-2</v>
      </c>
      <c r="P35" s="235"/>
      <c r="Q35" s="113">
        <v>12</v>
      </c>
      <c r="R35" s="120" t="s">
        <v>163</v>
      </c>
      <c r="S35" s="115">
        <v>86173.57</v>
      </c>
      <c r="T35" s="115">
        <v>87289.61</v>
      </c>
      <c r="U35" s="115">
        <f>110850.94</f>
        <v>110850.94</v>
      </c>
      <c r="V35" s="115">
        <f>170732.58</f>
        <v>170732.58</v>
      </c>
      <c r="W35" s="115">
        <v>123830.35</v>
      </c>
      <c r="X35" s="115">
        <v>100646.67</v>
      </c>
      <c r="Y35" s="115"/>
      <c r="Z35" s="115"/>
      <c r="AA35" s="115"/>
      <c r="AB35" s="115"/>
      <c r="AC35" s="115"/>
      <c r="AD35" s="115"/>
      <c r="AE35" s="48">
        <f t="shared" si="11"/>
        <v>679523.72</v>
      </c>
      <c r="AF35" s="239">
        <f t="shared" si="12"/>
        <v>1.0868598327685894E-2</v>
      </c>
    </row>
    <row r="36" spans="1:33">
      <c r="A36" s="226" t="s">
        <v>336</v>
      </c>
      <c r="B36" s="251">
        <f>B17-B34</f>
        <v>335252.49000000954</v>
      </c>
      <c r="C36" s="233"/>
      <c r="D36" s="251">
        <f>D17-D34</f>
        <v>8125761.4799999893</v>
      </c>
      <c r="E36" s="251"/>
      <c r="F36" s="251">
        <f>F17-F34</f>
        <v>-11138555.429999992</v>
      </c>
      <c r="G36" s="251"/>
      <c r="H36" s="251">
        <f>H17-H34</f>
        <v>-323055.85000000894</v>
      </c>
      <c r="I36" s="251"/>
      <c r="J36" s="251">
        <f>J17-J34</f>
        <v>263135.53000000119</v>
      </c>
      <c r="K36" s="251"/>
      <c r="L36" s="251">
        <f>L17-L34</f>
        <v>8492451.5741456747</v>
      </c>
      <c r="M36" s="251"/>
      <c r="N36" s="251">
        <f>N17-N34</f>
        <v>-8104089.430798769</v>
      </c>
      <c r="O36" s="251">
        <f>O17-O34</f>
        <v>7750185.4294941723</v>
      </c>
      <c r="P36" s="235"/>
      <c r="Q36" s="113">
        <v>13</v>
      </c>
      <c r="R36" s="120" t="s">
        <v>164</v>
      </c>
      <c r="S36" s="115">
        <v>231987.94</v>
      </c>
      <c r="T36" s="115">
        <v>219845.87</v>
      </c>
      <c r="U36" s="115">
        <f>232249.03</f>
        <v>232249.03</v>
      </c>
      <c r="V36" s="115">
        <f>197988.6</f>
        <v>197988.6</v>
      </c>
      <c r="W36" s="115">
        <v>276580.63</v>
      </c>
      <c r="X36" s="115">
        <v>164311.51</v>
      </c>
      <c r="Y36" s="115"/>
      <c r="Z36" s="115"/>
      <c r="AA36" s="115"/>
      <c r="AB36" s="115"/>
      <c r="AC36" s="115"/>
      <c r="AD36" s="115"/>
      <c r="AE36" s="48">
        <f t="shared" si="11"/>
        <v>1322963.5799999998</v>
      </c>
      <c r="AF36" s="239">
        <f t="shared" si="12"/>
        <v>2.1160055683085415E-2</v>
      </c>
    </row>
    <row r="37" spans="1:33">
      <c r="L37" s="64"/>
      <c r="P37" s="235"/>
      <c r="Q37" s="113">
        <v>14</v>
      </c>
      <c r="R37" s="120" t="s">
        <v>324</v>
      </c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48">
        <f t="shared" si="11"/>
        <v>0</v>
      </c>
      <c r="AF37" s="239">
        <f t="shared" si="12"/>
        <v>0</v>
      </c>
    </row>
    <row r="38" spans="1:33">
      <c r="P38" s="235"/>
      <c r="Q38" s="113">
        <v>15</v>
      </c>
      <c r="R38" s="120" t="s">
        <v>165</v>
      </c>
      <c r="S38" s="115">
        <v>1774960.27</v>
      </c>
      <c r="T38" s="115">
        <v>1896890.26</v>
      </c>
      <c r="U38" s="115">
        <f>1916270.79</f>
        <v>1916270.79</v>
      </c>
      <c r="V38" s="115">
        <f>1849406</f>
        <v>1849406</v>
      </c>
      <c r="W38" s="115">
        <v>1863619.41</v>
      </c>
      <c r="X38" s="115">
        <v>1860929.77</v>
      </c>
      <c r="Y38" s="115"/>
      <c r="Z38" s="115"/>
      <c r="AA38" s="115"/>
      <c r="AB38" s="115"/>
      <c r="AC38" s="115"/>
      <c r="AD38" s="115"/>
      <c r="AE38" s="48">
        <f t="shared" si="11"/>
        <v>11162076.5</v>
      </c>
      <c r="AF38" s="239">
        <f t="shared" si="12"/>
        <v>0.17853111291155813</v>
      </c>
      <c r="AG38" s="220"/>
    </row>
    <row r="39" spans="1:33">
      <c r="B39" s="252" t="s">
        <v>296</v>
      </c>
      <c r="C39" s="252" t="s">
        <v>337</v>
      </c>
      <c r="D39" s="113" t="s">
        <v>338</v>
      </c>
      <c r="F39" s="113" t="s">
        <v>339</v>
      </c>
      <c r="H39" s="113" t="s">
        <v>340</v>
      </c>
      <c r="I39" s="252" t="s">
        <v>337</v>
      </c>
      <c r="J39" s="113" t="s">
        <v>339</v>
      </c>
      <c r="L39" s="252" t="s">
        <v>341</v>
      </c>
      <c r="P39" s="235"/>
      <c r="Q39" s="113">
        <v>16</v>
      </c>
      <c r="R39" s="120" t="s">
        <v>166</v>
      </c>
      <c r="S39" s="115">
        <v>423850.66</v>
      </c>
      <c r="T39" s="115">
        <v>711839.77</v>
      </c>
      <c r="U39" s="115">
        <f>329907.73</f>
        <v>329907.73</v>
      </c>
      <c r="V39" s="115">
        <f>490200.6</f>
        <v>490200.6</v>
      </c>
      <c r="W39" s="115">
        <v>504884.87</v>
      </c>
      <c r="X39" s="115">
        <v>615775.14</v>
      </c>
      <c r="Y39" s="115"/>
      <c r="Z39" s="115"/>
      <c r="AA39" s="115"/>
      <c r="AB39" s="115"/>
      <c r="AC39" s="115"/>
      <c r="AD39" s="115"/>
      <c r="AE39" s="48">
        <f t="shared" si="11"/>
        <v>3076458.77</v>
      </c>
      <c r="AF39" s="239">
        <f t="shared" si="12"/>
        <v>4.9206221444067624E-2</v>
      </c>
    </row>
    <row r="40" spans="1:33">
      <c r="B40" s="113" t="s">
        <v>313</v>
      </c>
      <c r="C40" s="253" t="s">
        <v>314</v>
      </c>
      <c r="D40" s="119" t="s">
        <v>342</v>
      </c>
      <c r="F40" s="113" t="s">
        <v>343</v>
      </c>
      <c r="H40" s="113" t="s">
        <v>344</v>
      </c>
      <c r="I40" s="253" t="s">
        <v>314</v>
      </c>
      <c r="J40" s="113" t="s">
        <v>266</v>
      </c>
      <c r="L40" s="113" t="s">
        <v>345</v>
      </c>
      <c r="P40" s="235"/>
      <c r="Q40" s="244" t="s">
        <v>327</v>
      </c>
      <c r="R40" s="120" t="s">
        <v>312</v>
      </c>
      <c r="S40" s="48">
        <f t="shared" ref="S40:AC40" si="13">SUM(S24:S39)</f>
        <v>9502229.8300000001</v>
      </c>
      <c r="T40" s="48">
        <f t="shared" si="13"/>
        <v>9870035.4800000004</v>
      </c>
      <c r="U40" s="48">
        <f t="shared" si="13"/>
        <v>11697778.77</v>
      </c>
      <c r="V40" s="48">
        <f t="shared" si="13"/>
        <v>9795349.0399999991</v>
      </c>
      <c r="W40" s="48">
        <f t="shared" si="13"/>
        <v>11144329.4</v>
      </c>
      <c r="X40" s="48">
        <f t="shared" si="13"/>
        <v>10512021.270000001</v>
      </c>
      <c r="Y40" s="48">
        <f t="shared" si="13"/>
        <v>0</v>
      </c>
      <c r="Z40" s="48">
        <f t="shared" si="13"/>
        <v>0</v>
      </c>
      <c r="AA40" s="48">
        <f t="shared" si="13"/>
        <v>0</v>
      </c>
      <c r="AB40" s="48">
        <f>SUM(AB24:AB39)</f>
        <v>0</v>
      </c>
      <c r="AC40" s="48">
        <f t="shared" si="13"/>
        <v>0</v>
      </c>
      <c r="AD40" s="48">
        <f>SUM(AD24:AD39)</f>
        <v>0</v>
      </c>
      <c r="AE40" s="48">
        <f>SUM(AE24:AE39)</f>
        <v>62521743.790000007</v>
      </c>
      <c r="AF40" s="239">
        <f t="shared" si="12"/>
        <v>1</v>
      </c>
    </row>
    <row r="41" spans="1:33">
      <c r="B41" s="252" t="s">
        <v>131</v>
      </c>
      <c r="C41" s="48">
        <f>D41/$D$53</f>
        <v>0.16701376042784763</v>
      </c>
      <c r="D41" s="48">
        <v>11654886.960000001</v>
      </c>
      <c r="F41" s="199">
        <f>D41-L5</f>
        <v>0</v>
      </c>
      <c r="H41" s="48">
        <v>9502229.8300000001</v>
      </c>
      <c r="I41" s="254">
        <f>H41/$H$53</f>
        <v>0.15198280236578793</v>
      </c>
      <c r="J41" s="199">
        <f>H41-L22</f>
        <v>0</v>
      </c>
      <c r="L41" s="199">
        <f>D41-H41</f>
        <v>2152657.1300000008</v>
      </c>
      <c r="O41" s="137"/>
      <c r="R41" s="220"/>
      <c r="S41" s="220">
        <f>S40-$H41</f>
        <v>0</v>
      </c>
      <c r="T41" s="220">
        <f>T40-H42</f>
        <v>0</v>
      </c>
      <c r="U41" s="220">
        <f>U40-$H43</f>
        <v>0</v>
      </c>
      <c r="V41" s="220">
        <f>V40-$H44</f>
        <v>0</v>
      </c>
      <c r="W41" s="220">
        <f>W40-$H45</f>
        <v>0</v>
      </c>
      <c r="X41" s="220">
        <f>X40-$H46</f>
        <v>0</v>
      </c>
      <c r="Y41" s="220">
        <f>Y40-$H47</f>
        <v>0</v>
      </c>
      <c r="Z41" s="220">
        <f>Z40-$H48</f>
        <v>0</v>
      </c>
      <c r="AA41" s="220">
        <f>AA40-$H49</f>
        <v>0</v>
      </c>
      <c r="AB41" s="220">
        <f>AB40-$H50</f>
        <v>0</v>
      </c>
      <c r="AC41" s="220">
        <f>AC40-$H51</f>
        <v>0</v>
      </c>
      <c r="AD41" s="220">
        <f>AD40-$H52</f>
        <v>0</v>
      </c>
      <c r="AE41" s="220">
        <f>AE40-$H53</f>
        <v>0</v>
      </c>
      <c r="AF41" s="105"/>
    </row>
    <row r="42" spans="1:33">
      <c r="B42" s="252" t="s">
        <v>132</v>
      </c>
      <c r="C42" s="48">
        <f t="shared" ref="C42:C52" si="14">D42/$D$53</f>
        <v>0.17064170720918928</v>
      </c>
      <c r="D42" s="48">
        <v>11908059.57</v>
      </c>
      <c r="F42" s="199">
        <f t="shared" ref="F42:F52" si="15">D42-L6</f>
        <v>0</v>
      </c>
      <c r="H42" s="48">
        <v>9870035.4800000004</v>
      </c>
      <c r="I42" s="254">
        <f t="shared" ref="I42:I52" si="16">H42/$H$53</f>
        <v>0.1578656461206806</v>
      </c>
      <c r="J42" s="199">
        <f t="shared" ref="J42:J52" si="17">H42-L23</f>
        <v>0</v>
      </c>
      <c r="L42" s="199">
        <f>D42-H42</f>
        <v>2038024.0899999999</v>
      </c>
      <c r="O42" s="137"/>
      <c r="S42" s="125" t="s">
        <v>346</v>
      </c>
      <c r="W42" s="125" t="s">
        <v>347</v>
      </c>
      <c r="Y42" s="63"/>
    </row>
    <row r="43" spans="1:33">
      <c r="B43" s="252" t="s">
        <v>133</v>
      </c>
      <c r="C43" s="48">
        <f t="shared" si="14"/>
        <v>0.16015299043317571</v>
      </c>
      <c r="D43" s="48">
        <f>11176115.04</f>
        <v>11176115.039999999</v>
      </c>
      <c r="F43" s="199">
        <f>D43-L7</f>
        <v>39551.046825395897</v>
      </c>
      <c r="H43" s="48">
        <v>11697778.77</v>
      </c>
      <c r="I43" s="254">
        <f t="shared" si="16"/>
        <v>0.18709936833001437</v>
      </c>
      <c r="J43" s="199">
        <f>H43-L24</f>
        <v>1352579.2170588225</v>
      </c>
      <c r="L43" s="199">
        <f>D43-H43</f>
        <v>-521663.73000000045</v>
      </c>
      <c r="O43" s="137"/>
      <c r="P43" s="255"/>
      <c r="Q43" s="256"/>
      <c r="R43" s="257"/>
      <c r="S43" s="257" t="s">
        <v>131</v>
      </c>
      <c r="T43" s="113" t="s">
        <v>132</v>
      </c>
      <c r="U43" s="113" t="s">
        <v>133</v>
      </c>
      <c r="V43" s="113" t="s">
        <v>134</v>
      </c>
      <c r="W43" s="113" t="s">
        <v>315</v>
      </c>
      <c r="X43" s="113" t="s">
        <v>316</v>
      </c>
      <c r="Y43" s="113" t="s">
        <v>317</v>
      </c>
      <c r="Z43" s="113" t="s">
        <v>318</v>
      </c>
      <c r="AA43" s="113" t="s">
        <v>319</v>
      </c>
      <c r="AB43" s="113" t="s">
        <v>321</v>
      </c>
      <c r="AC43" s="113" t="s">
        <v>322</v>
      </c>
      <c r="AD43" s="113" t="s">
        <v>323</v>
      </c>
      <c r="AE43" s="113" t="s">
        <v>312</v>
      </c>
    </row>
    <row r="44" spans="1:33">
      <c r="B44" s="252" t="s">
        <v>134</v>
      </c>
      <c r="C44" s="48">
        <f>D44/$D$53</f>
        <v>0.16884919368276732</v>
      </c>
      <c r="D44" s="48">
        <f>11782970.82</f>
        <v>11782970.82</v>
      </c>
      <c r="F44" s="199">
        <f t="shared" si="15"/>
        <v>232089.40095238201</v>
      </c>
      <c r="H44" s="48">
        <f>9795349.04</f>
        <v>9795349.0399999991</v>
      </c>
      <c r="I44" s="254">
        <f t="shared" si="16"/>
        <v>0.15667107867146068</v>
      </c>
      <c r="J44" s="199">
        <f t="shared" si="17"/>
        <v>-558050.53647059016</v>
      </c>
      <c r="L44" s="199">
        <f>D44-H44</f>
        <v>1987621.7800000012</v>
      </c>
      <c r="O44" s="64"/>
      <c r="P44" s="258" t="s">
        <v>348</v>
      </c>
      <c r="Q44" s="259" t="s">
        <v>349</v>
      </c>
      <c r="R44" s="260"/>
      <c r="S44" s="261">
        <f>SUM(S45:S47)</f>
        <v>10156873.166126085</v>
      </c>
      <c r="T44" s="261">
        <f t="shared" ref="T44:AC44" si="18">SUM(T45:T47)</f>
        <v>10370897.690090632</v>
      </c>
      <c r="U44" s="261">
        <f t="shared" si="18"/>
        <v>9718698.4906163756</v>
      </c>
      <c r="V44" s="261">
        <f t="shared" si="18"/>
        <v>10068950.004169472</v>
      </c>
      <c r="W44" s="261">
        <f t="shared" si="18"/>
        <v>9964004.7283447981</v>
      </c>
      <c r="X44" s="261">
        <f t="shared" si="18"/>
        <v>9084406.9052386843</v>
      </c>
      <c r="Y44" s="261">
        <f t="shared" si="18"/>
        <v>10577707.583242672</v>
      </c>
      <c r="Z44" s="261">
        <f t="shared" si="18"/>
        <v>9277833.8443450928</v>
      </c>
      <c r="AA44" s="261">
        <f t="shared" si="18"/>
        <v>9183467.0399999302</v>
      </c>
      <c r="AB44" s="261">
        <f t="shared" si="18"/>
        <v>9944780.9667185843</v>
      </c>
      <c r="AC44" s="261">
        <f t="shared" si="18"/>
        <v>9303486.1401222907</v>
      </c>
      <c r="AD44" s="261">
        <f>SUM(AD45:AD47)</f>
        <v>14670259.420985375</v>
      </c>
      <c r="AE44" s="261">
        <f>SUM(AE45:AE47)</f>
        <v>122321365.97999999</v>
      </c>
    </row>
    <row r="45" spans="1:33">
      <c r="B45" s="252" t="s">
        <v>315</v>
      </c>
      <c r="C45" s="48">
        <f t="shared" si="14"/>
        <v>0.17180565709804477</v>
      </c>
      <c r="D45" s="48">
        <v>11989284.640000001</v>
      </c>
      <c r="F45" s="199">
        <f t="shared" si="15"/>
        <v>562544.45904761925</v>
      </c>
      <c r="H45" s="48">
        <v>11144329.4</v>
      </c>
      <c r="I45" s="254">
        <f t="shared" si="16"/>
        <v>0.17824725806484099</v>
      </c>
      <c r="J45" s="199">
        <f t="shared" si="17"/>
        <v>907808.70588235371</v>
      </c>
      <c r="L45" s="199">
        <f>D45-H45</f>
        <v>844955.24000000022</v>
      </c>
      <c r="P45" s="120" t="s">
        <v>350</v>
      </c>
      <c r="Q45" s="262" t="s">
        <v>351</v>
      </c>
      <c r="R45" s="263"/>
      <c r="S45" s="261">
        <f>89132085.65*S21</f>
        <v>7401023.375812836</v>
      </c>
      <c r="T45" s="261">
        <f t="shared" ref="T45:AC45" si="19">89132085.65*T21</f>
        <v>7556976.933462997</v>
      </c>
      <c r="U45" s="261">
        <f t="shared" si="19"/>
        <v>7081738.0049024252</v>
      </c>
      <c r="V45" s="261">
        <f t="shared" si="19"/>
        <v>7336956.2789540812</v>
      </c>
      <c r="W45" s="261">
        <f t="shared" si="19"/>
        <v>7260485.6539048404</v>
      </c>
      <c r="X45" s="261">
        <f t="shared" si="19"/>
        <v>6619547.8432572177</v>
      </c>
      <c r="Y45" s="261">
        <f t="shared" si="19"/>
        <v>7707673.39570418</v>
      </c>
      <c r="Z45" s="261">
        <f t="shared" si="19"/>
        <v>6760492.5291289296</v>
      </c>
      <c r="AA45" s="261">
        <f t="shared" si="19"/>
        <v>6691730.1341047846</v>
      </c>
      <c r="AB45" s="261">
        <f t="shared" si="19"/>
        <v>7246477.8478763895</v>
      </c>
      <c r="AC45" s="261">
        <f t="shared" si="19"/>
        <v>6779184.6243815785</v>
      </c>
      <c r="AD45" s="261">
        <f>89132085.65*AD21</f>
        <v>10689799.028509736</v>
      </c>
      <c r="AE45" s="48">
        <f>SUM(S45:AD45)</f>
        <v>89132085.649999991</v>
      </c>
      <c r="AF45" s="137"/>
      <c r="AG45" s="63"/>
    </row>
    <row r="46" spans="1:33">
      <c r="B46" s="252" t="s">
        <v>316</v>
      </c>
      <c r="C46" s="48">
        <f t="shared" si="14"/>
        <v>0.16153669114897526</v>
      </c>
      <c r="D46" s="48">
        <v>11272675.199999999</v>
      </c>
      <c r="F46" s="199">
        <f t="shared" si="15"/>
        <v>886423.61587301455</v>
      </c>
      <c r="H46" s="48">
        <v>10512021.27</v>
      </c>
      <c r="I46" s="254">
        <f t="shared" si="16"/>
        <v>0.16813384644721532</v>
      </c>
      <c r="J46" s="199">
        <f>H46-L27</f>
        <v>-696073.73294117674</v>
      </c>
      <c r="L46" s="199">
        <f t="shared" ref="L46:L52" si="20">D46-H46</f>
        <v>760653.9299999997</v>
      </c>
      <c r="P46" s="120" t="s">
        <v>352</v>
      </c>
      <c r="Q46" s="259" t="s">
        <v>353</v>
      </c>
      <c r="R46" s="260"/>
      <c r="S46" s="261">
        <f>115171*S21</f>
        <v>9563.1472886525025</v>
      </c>
      <c r="T46" s="261">
        <f t="shared" ref="T46:AD46" si="21">115171*T21</f>
        <v>9764.6608856601651</v>
      </c>
      <c r="U46" s="261">
        <f t="shared" si="21"/>
        <v>9150.5863664553108</v>
      </c>
      <c r="V46" s="261">
        <f t="shared" si="21"/>
        <v>9480.3637258253748</v>
      </c>
      <c r="W46" s="261">
        <f t="shared" si="21"/>
        <v>9381.5530866114568</v>
      </c>
      <c r="X46" s="261">
        <f t="shared" si="21"/>
        <v>8553.372661439309</v>
      </c>
      <c r="Y46" s="261">
        <f t="shared" si="21"/>
        <v>9959.3815872594932</v>
      </c>
      <c r="Z46" s="261">
        <f t="shared" si="21"/>
        <v>8735.4927172884782</v>
      </c>
      <c r="AA46" s="261">
        <f t="shared" si="21"/>
        <v>8646.6421789040905</v>
      </c>
      <c r="AB46" s="261">
        <f t="shared" si="21"/>
        <v>9363.4530610557031</v>
      </c>
      <c r="AC46" s="261">
        <f t="shared" si="21"/>
        <v>8759.6454933246678</v>
      </c>
      <c r="AD46" s="261">
        <f t="shared" si="21"/>
        <v>13812.700947523434</v>
      </c>
      <c r="AE46" s="48">
        <f t="shared" ref="AE46:AE53" si="22">SUM(S46:AD46)</f>
        <v>115170.99999999999</v>
      </c>
      <c r="AF46" s="137"/>
      <c r="AG46" s="63"/>
    </row>
    <row r="47" spans="1:33">
      <c r="B47" s="252" t="s">
        <v>317</v>
      </c>
      <c r="C47" s="48">
        <f t="shared" si="14"/>
        <v>0</v>
      </c>
      <c r="D47" s="48"/>
      <c r="F47" s="199">
        <f t="shared" si="15"/>
        <v>-12152697.892063493</v>
      </c>
      <c r="H47" s="48"/>
      <c r="I47" s="254">
        <f t="shared" si="16"/>
        <v>0</v>
      </c>
      <c r="J47" s="199">
        <f t="shared" si="17"/>
        <v>-10202855.755882353</v>
      </c>
      <c r="L47" s="199">
        <f t="shared" si="20"/>
        <v>0</v>
      </c>
      <c r="P47" s="120" t="s">
        <v>354</v>
      </c>
      <c r="Q47" s="262" t="s">
        <v>355</v>
      </c>
      <c r="R47" s="263"/>
      <c r="S47" s="261">
        <f>33074109.33*S21</f>
        <v>2746286.6430245973</v>
      </c>
      <c r="T47" s="261">
        <f t="shared" ref="T47:AD47" si="23">33074109.33*T21</f>
        <v>2804156.0957419747</v>
      </c>
      <c r="U47" s="261">
        <f t="shared" si="23"/>
        <v>2627809.8993474953</v>
      </c>
      <c r="V47" s="261">
        <f t="shared" si="23"/>
        <v>2722513.3614895642</v>
      </c>
      <c r="W47" s="261">
        <f t="shared" si="23"/>
        <v>2694137.5213533468</v>
      </c>
      <c r="X47" s="261">
        <f t="shared" si="23"/>
        <v>2456305.6893200264</v>
      </c>
      <c r="Y47" s="261">
        <f t="shared" si="23"/>
        <v>2860074.8059512326</v>
      </c>
      <c r="Z47" s="261">
        <f t="shared" si="23"/>
        <v>2508605.8224988747</v>
      </c>
      <c r="AA47" s="261">
        <f t="shared" si="23"/>
        <v>2483090.2637162418</v>
      </c>
      <c r="AB47" s="261">
        <f t="shared" si="23"/>
        <v>2688939.6657811385</v>
      </c>
      <c r="AC47" s="261">
        <f t="shared" si="23"/>
        <v>2515541.8702473869</v>
      </c>
      <c r="AD47" s="261">
        <f t="shared" si="23"/>
        <v>3966647.6915281154</v>
      </c>
      <c r="AE47" s="48">
        <f t="shared" si="22"/>
        <v>33074109.329999994</v>
      </c>
      <c r="AF47" s="137"/>
      <c r="AG47" s="63"/>
    </row>
    <row r="48" spans="1:33">
      <c r="B48" s="252" t="s">
        <v>318</v>
      </c>
      <c r="C48" s="48">
        <f t="shared" si="14"/>
        <v>0</v>
      </c>
      <c r="D48" s="48"/>
      <c r="F48" s="199">
        <f t="shared" si="15"/>
        <v>-10615059.022222223</v>
      </c>
      <c r="H48" s="48"/>
      <c r="I48" s="254">
        <f t="shared" si="16"/>
        <v>0</v>
      </c>
      <c r="J48" s="199">
        <f t="shared" si="17"/>
        <v>-10400278.723529411</v>
      </c>
      <c r="L48" s="199">
        <f>D48-H48</f>
        <v>0</v>
      </c>
      <c r="P48" s="120" t="s">
        <v>356</v>
      </c>
      <c r="Q48" s="259" t="s">
        <v>357</v>
      </c>
      <c r="R48" s="260"/>
      <c r="S48" s="261">
        <f>SUM(S49:S51)</f>
        <v>512195.70372697769</v>
      </c>
      <c r="T48" s="261">
        <f>SUM(T49:T51)</f>
        <v>522988.63575181091</v>
      </c>
      <c r="U48" s="261">
        <f t="shared" ref="U48:AE48" si="24">SUM(U49:U51)</f>
        <v>490099.21964105539</v>
      </c>
      <c r="V48" s="261">
        <f t="shared" si="24"/>
        <v>507761.87206681079</v>
      </c>
      <c r="W48" s="261">
        <f t="shared" si="24"/>
        <v>502469.64103028382</v>
      </c>
      <c r="X48" s="261">
        <f t="shared" si="24"/>
        <v>458112.85733969969</v>
      </c>
      <c r="Y48" s="261">
        <f t="shared" si="24"/>
        <v>533417.74489083071</v>
      </c>
      <c r="Z48" s="261">
        <f t="shared" si="24"/>
        <v>467867.08441085933</v>
      </c>
      <c r="AA48" s="261">
        <f t="shared" si="24"/>
        <v>463108.30964135297</v>
      </c>
      <c r="AB48" s="261">
        <f t="shared" si="24"/>
        <v>501500.21589782706</v>
      </c>
      <c r="AC48" s="261">
        <f t="shared" si="24"/>
        <v>469160.69076715742</v>
      </c>
      <c r="AD48" s="261">
        <f t="shared" si="24"/>
        <v>739798.9248353336</v>
      </c>
      <c r="AE48" s="261">
        <f t="shared" si="24"/>
        <v>6168480.9000000004</v>
      </c>
    </row>
    <row r="49" spans="1:34">
      <c r="B49" s="252" t="s">
        <v>319</v>
      </c>
      <c r="C49" s="48">
        <f t="shared" si="14"/>
        <v>0</v>
      </c>
      <c r="D49" s="48"/>
      <c r="F49" s="199">
        <f t="shared" si="15"/>
        <v>-10503431.206349205</v>
      </c>
      <c r="H49" s="48"/>
      <c r="I49" s="254">
        <f t="shared" si="16"/>
        <v>0</v>
      </c>
      <c r="J49" s="199">
        <f t="shared" si="17"/>
        <v>-10319464.870588236</v>
      </c>
      <c r="L49" s="199">
        <f t="shared" si="20"/>
        <v>0</v>
      </c>
      <c r="N49" s="220"/>
      <c r="P49" s="120" t="s">
        <v>358</v>
      </c>
      <c r="Q49" s="262" t="s">
        <v>359</v>
      </c>
      <c r="R49" s="263"/>
      <c r="S49" s="261">
        <f>5453968.29*S21</f>
        <v>452866.6249742576</v>
      </c>
      <c r="T49" s="261">
        <f t="shared" ref="T49:AD49" si="25">5453968.29*T21</f>
        <v>462409.38112019398</v>
      </c>
      <c r="U49" s="261">
        <f t="shared" si="25"/>
        <v>433329.63921085681</v>
      </c>
      <c r="V49" s="261">
        <f t="shared" si="25"/>
        <v>448946.37659061613</v>
      </c>
      <c r="W49" s="261">
        <f t="shared" si="25"/>
        <v>444267.15966111707</v>
      </c>
      <c r="X49" s="261">
        <f t="shared" si="25"/>
        <v>405048.34783098957</v>
      </c>
      <c r="Y49" s="261">
        <f t="shared" si="25"/>
        <v>471630.45701542177</v>
      </c>
      <c r="Z49" s="261">
        <f t="shared" si="25"/>
        <v>413672.71515934827</v>
      </c>
      <c r="AA49" s="261">
        <f t="shared" si="25"/>
        <v>409465.16274686699</v>
      </c>
      <c r="AB49" s="261">
        <f t="shared" si="25"/>
        <v>443410.02578688419</v>
      </c>
      <c r="AC49" s="261">
        <f t="shared" si="25"/>
        <v>414816.47942827747</v>
      </c>
      <c r="AD49" s="261">
        <f t="shared" si="25"/>
        <v>654105.92047516967</v>
      </c>
      <c r="AE49" s="48">
        <f t="shared" si="22"/>
        <v>5453968.29</v>
      </c>
    </row>
    <row r="50" spans="1:34">
      <c r="B50" s="252" t="s">
        <v>321</v>
      </c>
      <c r="C50" s="48">
        <f>D50/$D$53</f>
        <v>0</v>
      </c>
      <c r="D50" s="48"/>
      <c r="F50" s="199">
        <f t="shared" si="15"/>
        <v>-11404000.123809524</v>
      </c>
      <c r="H50" s="48"/>
      <c r="I50" s="254">
        <f t="shared" si="16"/>
        <v>0</v>
      </c>
      <c r="J50" s="199">
        <f t="shared" si="17"/>
        <v>-10450203.864705883</v>
      </c>
      <c r="L50" s="199">
        <f t="shared" si="20"/>
        <v>0</v>
      </c>
      <c r="N50" s="220"/>
      <c r="P50" s="120" t="s">
        <v>360</v>
      </c>
      <c r="Q50" s="262" t="s">
        <v>361</v>
      </c>
      <c r="R50" s="263"/>
      <c r="S50" s="261">
        <f>10608*S21</f>
        <v>880.82821576634524</v>
      </c>
      <c r="T50" s="261">
        <f t="shared" ref="T50:AB50" si="26">10608*T21</f>
        <v>899.38893189329815</v>
      </c>
      <c r="U50" s="261">
        <f t="shared" si="26"/>
        <v>842.82866498821704</v>
      </c>
      <c r="V50" s="261">
        <f t="shared" si="26"/>
        <v>873.20330989186152</v>
      </c>
      <c r="W50" s="261">
        <f t="shared" si="26"/>
        <v>864.10220578769258</v>
      </c>
      <c r="X50" s="261">
        <f t="shared" si="26"/>
        <v>787.82138900025348</v>
      </c>
      <c r="Y50" s="261">
        <f t="shared" si="26"/>
        <v>917.32397806434517</v>
      </c>
      <c r="Z50" s="261">
        <f t="shared" si="26"/>
        <v>804.59583354313315</v>
      </c>
      <c r="AA50" s="261">
        <f t="shared" si="26"/>
        <v>796.41211966393098</v>
      </c>
      <c r="AB50" s="261">
        <f t="shared" si="26"/>
        <v>862.43507542418581</v>
      </c>
      <c r="AC50" s="261">
        <f>10608*AC21</f>
        <v>806.82046168903685</v>
      </c>
      <c r="AD50" s="261">
        <f>10608*AD21</f>
        <v>1272.2398142876989</v>
      </c>
      <c r="AE50" s="48">
        <f t="shared" si="22"/>
        <v>10607.999999999998</v>
      </c>
      <c r="AG50" s="220"/>
    </row>
    <row r="51" spans="1:34">
      <c r="B51" s="252" t="s">
        <v>322</v>
      </c>
      <c r="C51" s="48">
        <f t="shared" si="14"/>
        <v>0</v>
      </c>
      <c r="D51" s="48"/>
      <c r="F51" s="199">
        <f t="shared" si="15"/>
        <v>-10645403.482539682</v>
      </c>
      <c r="H51" s="48"/>
      <c r="I51" s="254">
        <f t="shared" si="16"/>
        <v>0</v>
      </c>
      <c r="J51" s="199">
        <f t="shared" si="17"/>
        <v>-10885629.473529411</v>
      </c>
      <c r="L51" s="199">
        <f t="shared" si="20"/>
        <v>0</v>
      </c>
      <c r="P51" s="264" t="s">
        <v>362</v>
      </c>
      <c r="Q51" s="259" t="s">
        <v>363</v>
      </c>
      <c r="R51" s="260"/>
      <c r="S51" s="261">
        <f>703904.61*S21</f>
        <v>58448.250536953718</v>
      </c>
      <c r="T51" s="261">
        <f t="shared" ref="T51:AB51" si="27">703904.61*T21</f>
        <v>59679.865699723661</v>
      </c>
      <c r="U51" s="261">
        <f t="shared" si="27"/>
        <v>55926.751765210363</v>
      </c>
      <c r="V51" s="261">
        <f t="shared" si="27"/>
        <v>57942.292166302781</v>
      </c>
      <c r="W51" s="261">
        <f t="shared" si="27"/>
        <v>57338.379163379097</v>
      </c>
      <c r="X51" s="261">
        <f t="shared" si="27"/>
        <v>52276.688119709819</v>
      </c>
      <c r="Y51" s="261">
        <f t="shared" si="27"/>
        <v>60869.963897344591</v>
      </c>
      <c r="Z51" s="261">
        <f t="shared" si="27"/>
        <v>53389.773417967954</v>
      </c>
      <c r="AA51" s="261">
        <f t="shared" si="27"/>
        <v>52846.734774822085</v>
      </c>
      <c r="AB51" s="261">
        <f t="shared" si="27"/>
        <v>57227.755035518676</v>
      </c>
      <c r="AC51" s="261">
        <f>703904.61*AC21</f>
        <v>53537.390877190934</v>
      </c>
      <c r="AD51" s="261">
        <f>703904.61*AD21</f>
        <v>84420.764545876242</v>
      </c>
      <c r="AE51" s="48">
        <f t="shared" si="22"/>
        <v>703904.6100000001</v>
      </c>
    </row>
    <row r="52" spans="1:34">
      <c r="B52" s="252" t="s">
        <v>323</v>
      </c>
      <c r="C52" s="48">
        <f t="shared" si="14"/>
        <v>0</v>
      </c>
      <c r="D52" s="48"/>
      <c r="F52" s="199">
        <f t="shared" si="15"/>
        <v>-16993834.838095237</v>
      </c>
      <c r="H52" s="48"/>
      <c r="I52" s="254">
        <f t="shared" si="16"/>
        <v>0</v>
      </c>
      <c r="J52" s="199">
        <f t="shared" si="17"/>
        <v>-18111445.873529412</v>
      </c>
      <c r="L52" s="199">
        <f t="shared" si="20"/>
        <v>0</v>
      </c>
      <c r="P52" s="265" t="s">
        <v>364</v>
      </c>
      <c r="Q52" s="266"/>
      <c r="R52" s="246"/>
      <c r="S52" s="261">
        <f>S44+S48</f>
        <v>10669068.869853063</v>
      </c>
      <c r="T52" s="261">
        <f t="shared" ref="T52:AE52" si="28">T44+T48</f>
        <v>10893886.325842444</v>
      </c>
      <c r="U52" s="261">
        <f t="shared" si="28"/>
        <v>10208797.710257431</v>
      </c>
      <c r="V52" s="261">
        <f t="shared" si="28"/>
        <v>10576711.876236282</v>
      </c>
      <c r="W52" s="261">
        <f t="shared" si="28"/>
        <v>10466474.369375082</v>
      </c>
      <c r="X52" s="261">
        <f>X44+X48</f>
        <v>9542519.7625783831</v>
      </c>
      <c r="Y52" s="261">
        <f t="shared" si="28"/>
        <v>11111125.328133503</v>
      </c>
      <c r="Z52" s="261">
        <f t="shared" si="28"/>
        <v>9745700.928755952</v>
      </c>
      <c r="AA52" s="261">
        <f t="shared" si="28"/>
        <v>9646575.349641284</v>
      </c>
      <c r="AB52" s="261">
        <f t="shared" si="28"/>
        <v>10446281.182616411</v>
      </c>
      <c r="AC52" s="261">
        <f t="shared" si="28"/>
        <v>9772646.8308894485</v>
      </c>
      <c r="AD52" s="261">
        <f>AD44+AD48</f>
        <v>15410058.345820708</v>
      </c>
      <c r="AE52" s="261">
        <f t="shared" si="28"/>
        <v>128489846.88</v>
      </c>
    </row>
    <row r="53" spans="1:34">
      <c r="B53" s="120" t="s">
        <v>286</v>
      </c>
      <c r="C53" s="189">
        <f>SUM(C41:C52)</f>
        <v>1</v>
      </c>
      <c r="D53" s="48">
        <f>SUM(D41:D52)</f>
        <v>69783992.230000004</v>
      </c>
      <c r="F53" s="48">
        <f>SUM(F41:F52)</f>
        <v>-70593818.042380944</v>
      </c>
      <c r="G53" s="239">
        <f>(H53-H34)/H34</f>
        <v>-0.462693190303965</v>
      </c>
      <c r="H53" s="48">
        <f>SUM(H41:H52)</f>
        <v>62521743.790000007</v>
      </c>
      <c r="I53" s="189">
        <f>SUM(I41:I52)</f>
        <v>0.99999999999999989</v>
      </c>
      <c r="J53" s="48">
        <f>SUM(J41:J52)</f>
        <v>-69363614.908235297</v>
      </c>
      <c r="L53" s="189">
        <f>SUM(L41:L52)</f>
        <v>7262248.4400000013</v>
      </c>
      <c r="P53" s="120" t="s">
        <v>365</v>
      </c>
      <c r="Q53" s="267" t="s">
        <v>366</v>
      </c>
      <c r="R53" s="263"/>
      <c r="S53" s="199">
        <f>S20-S52</f>
        <v>987109.12348315679</v>
      </c>
      <c r="T53" s="199">
        <f t="shared" ref="T53:AD53" si="29">T20-T52</f>
        <v>1007909.3793098312</v>
      </c>
      <c r="U53" s="199">
        <f t="shared" si="29"/>
        <v>944524.53934978135</v>
      </c>
      <c r="V53" s="199">
        <f t="shared" si="29"/>
        <v>978564.19494921342</v>
      </c>
      <c r="W53" s="199">
        <f t="shared" si="29"/>
        <v>968364.9498135671</v>
      </c>
      <c r="X53" s="199">
        <f t="shared" si="29"/>
        <v>882880.07449980639</v>
      </c>
      <c r="Y53" s="199">
        <f t="shared" si="29"/>
        <v>1028008.4717192762</v>
      </c>
      <c r="Z53" s="199">
        <f t="shared" si="29"/>
        <v>901678.52685777657</v>
      </c>
      <c r="AA53" s="199">
        <f t="shared" si="29"/>
        <v>892507.36443411373</v>
      </c>
      <c r="AB53" s="199">
        <f t="shared" si="29"/>
        <v>966496.66316879727</v>
      </c>
      <c r="AC53" s="199">
        <f t="shared" si="29"/>
        <v>904171.57907825522</v>
      </c>
      <c r="AD53" s="199">
        <f t="shared" si="29"/>
        <v>1425748.5233364012</v>
      </c>
      <c r="AE53" s="48">
        <f t="shared" si="22"/>
        <v>11887963.389999976</v>
      </c>
    </row>
    <row r="54" spans="1:34">
      <c r="C54" s="220"/>
      <c r="D54" s="64">
        <f>69783992.23-D53</f>
        <v>0</v>
      </c>
      <c r="H54" s="64">
        <f>62521743.79-H53</f>
        <v>0</v>
      </c>
      <c r="P54" s="132" t="s">
        <v>367</v>
      </c>
      <c r="Q54" s="267"/>
      <c r="R54" s="263"/>
      <c r="S54" s="199">
        <f>S52+S53</f>
        <v>11656177.993336219</v>
      </c>
      <c r="T54" s="199">
        <f t="shared" ref="T54:AD54" si="30">T52+T53</f>
        <v>11901795.705152275</v>
      </c>
      <c r="U54" s="199">
        <f t="shared" si="30"/>
        <v>11153322.249607213</v>
      </c>
      <c r="V54" s="199">
        <f t="shared" si="30"/>
        <v>11555276.071185496</v>
      </c>
      <c r="W54" s="199">
        <f t="shared" si="30"/>
        <v>11434839.319188649</v>
      </c>
      <c r="X54" s="199">
        <f>X52+X53</f>
        <v>10425399.837078189</v>
      </c>
      <c r="Y54" s="199">
        <f t="shared" si="30"/>
        <v>12139133.799852779</v>
      </c>
      <c r="Z54" s="199">
        <f t="shared" si="30"/>
        <v>10647379.455613729</v>
      </c>
      <c r="AA54" s="199">
        <f t="shared" si="30"/>
        <v>10539082.714075398</v>
      </c>
      <c r="AB54" s="199">
        <f t="shared" si="30"/>
        <v>11412777.845785208</v>
      </c>
      <c r="AC54" s="199">
        <f t="shared" si="30"/>
        <v>10676818.409967704</v>
      </c>
      <c r="AD54" s="199">
        <f t="shared" si="30"/>
        <v>16835806.869157109</v>
      </c>
      <c r="AE54" s="48">
        <f>SUM(S54:AD54)</f>
        <v>140377810.26999998</v>
      </c>
    </row>
    <row r="55" spans="1:34">
      <c r="D55" s="64"/>
      <c r="F55" s="220"/>
      <c r="H55" s="252" t="s">
        <v>341</v>
      </c>
      <c r="I55" s="253" t="s">
        <v>368</v>
      </c>
      <c r="J55" s="199">
        <f>D53-H53</f>
        <v>7262248.4399999976</v>
      </c>
      <c r="K55" s="265" t="s">
        <v>369</v>
      </c>
      <c r="L55" s="263"/>
    </row>
    <row r="56" spans="1:34">
      <c r="D56" s="220"/>
      <c r="I56" s="104" t="s">
        <v>370</v>
      </c>
      <c r="J56" s="268">
        <v>6809544.8300000001</v>
      </c>
      <c r="K56" s="104" t="s">
        <v>371</v>
      </c>
      <c r="L56" s="268">
        <f>Exec_Orç!K19</f>
        <v>21152569.810000002</v>
      </c>
      <c r="P56" s="120" t="s">
        <v>348</v>
      </c>
      <c r="Q56" s="197" t="s">
        <v>349</v>
      </c>
      <c r="R56" s="252"/>
      <c r="S56" s="261">
        <f>SUM(S57:S59)</f>
        <v>9502229.8300000001</v>
      </c>
      <c r="T56" s="48">
        <f>SUM(T57:T59)</f>
        <v>9863334.6199999992</v>
      </c>
      <c r="U56" s="48">
        <f>SUM(U57:U59)</f>
        <v>11673365.35</v>
      </c>
      <c r="V56" s="48">
        <f t="shared" ref="V56:AD56" si="31">SUM(V57:V59)</f>
        <v>9767509.6400000006</v>
      </c>
      <c r="W56" s="48">
        <f>SUM(W57:W59)</f>
        <v>11080309.600000001</v>
      </c>
      <c r="X56" s="48">
        <f t="shared" si="31"/>
        <v>10433551.120000001</v>
      </c>
      <c r="Y56" s="48">
        <f t="shared" si="31"/>
        <v>0</v>
      </c>
      <c r="Z56" s="48">
        <f>SUM(Z57:Z59)</f>
        <v>0</v>
      </c>
      <c r="AA56" s="48">
        <f t="shared" si="31"/>
        <v>0</v>
      </c>
      <c r="AB56" s="48">
        <f>SUM(AB57:AB59)</f>
        <v>0</v>
      </c>
      <c r="AC56" s="48">
        <f t="shared" si="31"/>
        <v>0</v>
      </c>
      <c r="AD56" s="48">
        <f t="shared" si="31"/>
        <v>0</v>
      </c>
      <c r="AE56" s="48">
        <f>SUM(AE57:AE59)</f>
        <v>62320300.159999989</v>
      </c>
      <c r="AF56" s="239">
        <f>AE56/$AE$64</f>
        <v>0.99677802284791328</v>
      </c>
      <c r="AH56" s="64"/>
    </row>
    <row r="57" spans="1:34">
      <c r="D57" s="220"/>
      <c r="I57" s="104" t="s">
        <v>372</v>
      </c>
      <c r="J57" s="220">
        <f>(J58-J56)</f>
        <v>-791340.00000000186</v>
      </c>
      <c r="K57" s="104" t="s">
        <v>373</v>
      </c>
      <c r="L57" s="220">
        <f>Exec_Orç!J19</f>
        <v>1731688.1799999988</v>
      </c>
      <c r="N57" s="220"/>
      <c r="P57" s="120" t="s">
        <v>350</v>
      </c>
      <c r="Q57" s="262" t="s">
        <v>351</v>
      </c>
      <c r="R57" s="263"/>
      <c r="S57" s="261">
        <v>7483372.4199999999</v>
      </c>
      <c r="T57" s="261">
        <v>7755753.3899999997</v>
      </c>
      <c r="U57" s="48">
        <f>7806919.68</f>
        <v>7806919.6799999997</v>
      </c>
      <c r="V57" s="48">
        <f>7464214.06</f>
        <v>7464214.0599999996</v>
      </c>
      <c r="W57" s="48">
        <f>7290775.62</f>
        <v>7290775.6200000001</v>
      </c>
      <c r="X57" s="48">
        <v>7411621.8399999999</v>
      </c>
      <c r="Y57" s="48"/>
      <c r="Z57" s="48"/>
      <c r="AA57" s="48"/>
      <c r="AB57" s="48"/>
      <c r="AC57" s="48"/>
      <c r="AD57" s="48"/>
      <c r="AE57" s="48">
        <f>SUM(S57:AD57)</f>
        <v>45212657.00999999</v>
      </c>
      <c r="AF57" s="239">
        <f>AE57/$AE$64</f>
        <v>0.72315092748950971</v>
      </c>
      <c r="AH57" s="64"/>
    </row>
    <row r="58" spans="1:34">
      <c r="B58" s="64"/>
      <c r="D58" s="64"/>
      <c r="H58" s="64"/>
      <c r="I58" s="227" t="s">
        <v>374</v>
      </c>
      <c r="J58" s="109">
        <f>SUM(B91:O91)+N113</f>
        <v>6018204.8299999982</v>
      </c>
      <c r="K58" s="269"/>
      <c r="L58" s="270">
        <f>L56+L57</f>
        <v>22884257.990000002</v>
      </c>
      <c r="M58" s="271"/>
      <c r="P58" s="120" t="s">
        <v>352</v>
      </c>
      <c r="Q58" s="259" t="s">
        <v>353</v>
      </c>
      <c r="R58" s="260"/>
      <c r="S58" s="261">
        <v>5579.12</v>
      </c>
      <c r="T58" s="261"/>
      <c r="U58" s="48"/>
      <c r="V58" s="48">
        <f>11158.24</f>
        <v>11158.24</v>
      </c>
      <c r="W58" s="48">
        <f>11158.24</f>
        <v>11158.24</v>
      </c>
      <c r="X58" s="48">
        <v>5579.12</v>
      </c>
      <c r="Y58" s="48"/>
      <c r="Z58" s="48"/>
      <c r="AA58" s="48"/>
      <c r="AB58" s="48"/>
      <c r="AC58" s="48"/>
      <c r="AD58" s="48"/>
      <c r="AE58" s="48">
        <f>SUM(S58:AD58)</f>
        <v>33474.720000000001</v>
      </c>
      <c r="AF58" s="239">
        <f t="shared" ref="AF58:AF63" si="32">AE58/$AE$64</f>
        <v>5.3540925077899212E-4</v>
      </c>
      <c r="AH58" s="64"/>
    </row>
    <row r="59" spans="1:34">
      <c r="B59" s="64"/>
      <c r="D59" s="64"/>
      <c r="F59" s="271"/>
      <c r="G59" s="271"/>
      <c r="H59" s="272"/>
      <c r="I59" s="271"/>
      <c r="J59" s="269">
        <f>J56+J57-J58</f>
        <v>0</v>
      </c>
      <c r="L59" s="64"/>
      <c r="N59" s="63"/>
      <c r="P59" s="120" t="s">
        <v>354</v>
      </c>
      <c r="Q59" s="262" t="s">
        <v>355</v>
      </c>
      <c r="R59" s="263"/>
      <c r="S59" s="261">
        <v>2013278.29</v>
      </c>
      <c r="T59" s="261">
        <v>2107581.23</v>
      </c>
      <c r="U59" s="48">
        <f>3866445.67</f>
        <v>3866445.67</v>
      </c>
      <c r="V59" s="48">
        <f>2292137.34</f>
        <v>2292137.34</v>
      </c>
      <c r="W59" s="48">
        <f>3778375.74</f>
        <v>3778375.74</v>
      </c>
      <c r="X59" s="48">
        <v>3016350.16</v>
      </c>
      <c r="Y59" s="48"/>
      <c r="Z59" s="48"/>
      <c r="AA59" s="48"/>
      <c r="AB59" s="48"/>
      <c r="AC59" s="48"/>
      <c r="AD59" s="48"/>
      <c r="AE59" s="48">
        <f>SUM(S59:AD59)</f>
        <v>17074168.43</v>
      </c>
      <c r="AF59" s="239">
        <f t="shared" si="32"/>
        <v>0.27309168610762452</v>
      </c>
      <c r="AH59" s="64"/>
    </row>
    <row r="60" spans="1:34">
      <c r="B60" s="64"/>
      <c r="D60" s="64"/>
      <c r="H60" s="64"/>
      <c r="J60" s="137"/>
      <c r="L60" s="137"/>
      <c r="P60" s="120" t="s">
        <v>356</v>
      </c>
      <c r="Q60" s="259" t="s">
        <v>357</v>
      </c>
      <c r="R60" s="260"/>
      <c r="S60" s="261">
        <f>SUM(S61:S63)</f>
        <v>0</v>
      </c>
      <c r="T60" s="261">
        <f t="shared" ref="T60:AD60" si="33">SUM(T61:T63)</f>
        <v>6700.86</v>
      </c>
      <c r="U60" s="261">
        <f t="shared" si="33"/>
        <v>24413.42</v>
      </c>
      <c r="V60" s="261">
        <f t="shared" si="33"/>
        <v>27839.4</v>
      </c>
      <c r="W60" s="261">
        <f t="shared" si="33"/>
        <v>64019.8</v>
      </c>
      <c r="X60" s="261">
        <f t="shared" si="33"/>
        <v>78470.149999999994</v>
      </c>
      <c r="Y60" s="261">
        <f t="shared" si="33"/>
        <v>0</v>
      </c>
      <c r="Z60" s="261">
        <f t="shared" si="33"/>
        <v>0</v>
      </c>
      <c r="AA60" s="261">
        <f t="shared" si="33"/>
        <v>0</v>
      </c>
      <c r="AB60" s="261">
        <f t="shared" si="33"/>
        <v>0</v>
      </c>
      <c r="AC60" s="261">
        <f t="shared" si="33"/>
        <v>0</v>
      </c>
      <c r="AD60" s="261">
        <f t="shared" si="33"/>
        <v>0</v>
      </c>
      <c r="AE60" s="261">
        <f>SUM(AE61:AE63)</f>
        <v>201443.63</v>
      </c>
      <c r="AF60" s="239">
        <f t="shared" si="32"/>
        <v>3.2219771520867243E-3</v>
      </c>
      <c r="AH60" s="64"/>
    </row>
    <row r="61" spans="1:34">
      <c r="B61" s="220"/>
      <c r="D61" s="220"/>
      <c r="J61" s="64"/>
      <c r="L61" s="63"/>
      <c r="P61" s="120" t="s">
        <v>358</v>
      </c>
      <c r="Q61" s="262" t="s">
        <v>359</v>
      </c>
      <c r="R61" s="263"/>
      <c r="S61" s="261"/>
      <c r="T61" s="261">
        <v>6700.86</v>
      </c>
      <c r="U61" s="48">
        <f>24413.42</f>
        <v>24413.42</v>
      </c>
      <c r="V61" s="48">
        <f>27839.4</f>
        <v>27839.4</v>
      </c>
      <c r="W61" s="48">
        <f>64019.8</f>
        <v>64019.8</v>
      </c>
      <c r="X61" s="48">
        <v>78470.149999999994</v>
      </c>
      <c r="Y61" s="48"/>
      <c r="Z61" s="48"/>
      <c r="AA61" s="48"/>
      <c r="AB61" s="48"/>
      <c r="AC61" s="48"/>
      <c r="AD61" s="48"/>
      <c r="AE61" s="48">
        <f>SUM(S61:AD61)</f>
        <v>201443.63</v>
      </c>
      <c r="AF61" s="239">
        <f t="shared" si="32"/>
        <v>3.2219771520867243E-3</v>
      </c>
      <c r="AH61" s="64"/>
    </row>
    <row r="62" spans="1:34">
      <c r="L62" s="137"/>
      <c r="P62" s="120" t="s">
        <v>360</v>
      </c>
      <c r="Q62" s="262" t="s">
        <v>361</v>
      </c>
      <c r="R62" s="263"/>
      <c r="S62" s="261"/>
      <c r="T62" s="261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>
        <f>SUM(S62:AD62)</f>
        <v>0</v>
      </c>
      <c r="AF62" s="239">
        <f t="shared" si="32"/>
        <v>0</v>
      </c>
      <c r="AH62" s="64"/>
    </row>
    <row r="63" spans="1:34">
      <c r="B63" s="380" t="s">
        <v>109</v>
      </c>
      <c r="C63" s="381"/>
      <c r="D63" s="381"/>
      <c r="E63" s="382" t="s">
        <v>110</v>
      </c>
      <c r="F63" s="382"/>
      <c r="H63" s="380"/>
      <c r="I63" s="383" t="s">
        <v>111</v>
      </c>
      <c r="L63" s="63"/>
      <c r="P63" s="264" t="s">
        <v>362</v>
      </c>
      <c r="Q63" s="259" t="s">
        <v>363</v>
      </c>
      <c r="R63" s="260"/>
      <c r="S63" s="261"/>
      <c r="T63" s="261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>
        <f>SUM(S63:AD63)</f>
        <v>0</v>
      </c>
      <c r="AF63" s="239">
        <f t="shared" si="32"/>
        <v>0</v>
      </c>
      <c r="AH63" s="64"/>
    </row>
    <row r="64" spans="1:34">
      <c r="A64" s="384"/>
      <c r="B64" s="380" t="s">
        <v>112</v>
      </c>
      <c r="C64" s="381"/>
      <c r="D64" s="381"/>
      <c r="E64" s="382" t="s">
        <v>113</v>
      </c>
      <c r="F64" s="382"/>
      <c r="H64" s="380"/>
      <c r="I64" s="383" t="s">
        <v>114</v>
      </c>
      <c r="J64" s="384"/>
      <c r="K64" s="384"/>
      <c r="L64" s="137"/>
      <c r="P64" s="265" t="s">
        <v>375</v>
      </c>
      <c r="Q64" s="266"/>
      <c r="R64" s="246"/>
      <c r="S64" s="261">
        <f>S56+S60</f>
        <v>9502229.8300000001</v>
      </c>
      <c r="T64" s="261">
        <f t="shared" ref="T64:AD64" si="34">T56+T60</f>
        <v>9870035.4799999986</v>
      </c>
      <c r="U64" s="261">
        <f>U56+U60</f>
        <v>11697778.77</v>
      </c>
      <c r="V64" s="261">
        <f t="shared" si="34"/>
        <v>9795349.040000001</v>
      </c>
      <c r="W64" s="261">
        <f t="shared" si="34"/>
        <v>11144329.400000002</v>
      </c>
      <c r="X64" s="261">
        <f t="shared" si="34"/>
        <v>10512021.270000001</v>
      </c>
      <c r="Y64" s="261">
        <f t="shared" si="34"/>
        <v>0</v>
      </c>
      <c r="Z64" s="261">
        <f>Z56+Z60</f>
        <v>0</v>
      </c>
      <c r="AA64" s="261">
        <f t="shared" si="34"/>
        <v>0</v>
      </c>
      <c r="AB64" s="261">
        <f t="shared" si="34"/>
        <v>0</v>
      </c>
      <c r="AC64" s="261">
        <f t="shared" si="34"/>
        <v>0</v>
      </c>
      <c r="AD64" s="261">
        <f t="shared" si="34"/>
        <v>0</v>
      </c>
      <c r="AE64" s="261">
        <f>AE56+AE60</f>
        <v>62521743.789999992</v>
      </c>
      <c r="AF64" s="239">
        <f>AF56+AF60</f>
        <v>1</v>
      </c>
      <c r="AH64" s="64"/>
    </row>
    <row r="65" spans="1:33">
      <c r="A65" s="385"/>
      <c r="B65" s="386"/>
      <c r="C65" s="386"/>
      <c r="D65" s="386"/>
      <c r="E65" s="386"/>
      <c r="F65" s="386"/>
      <c r="G65" s="386"/>
      <c r="H65" s="386"/>
      <c r="I65" s="386"/>
      <c r="J65" s="386"/>
      <c r="K65" s="386"/>
      <c r="L65" s="63"/>
      <c r="S65" s="220">
        <f>H41-S64</f>
        <v>0</v>
      </c>
      <c r="T65" s="220">
        <f>H42-T64</f>
        <v>0</v>
      </c>
      <c r="U65" s="220">
        <f>H43-U64</f>
        <v>0</v>
      </c>
      <c r="V65" s="220">
        <f>H44-V64</f>
        <v>0</v>
      </c>
      <c r="W65" s="220">
        <f>H45-W64</f>
        <v>0</v>
      </c>
      <c r="X65" s="220">
        <f>H46-X64</f>
        <v>0</v>
      </c>
      <c r="Y65" s="220">
        <f>H47-Y64</f>
        <v>0</v>
      </c>
      <c r="Z65" s="220">
        <f>H48-Z64</f>
        <v>0</v>
      </c>
      <c r="AA65" s="220">
        <f>H49-AA64</f>
        <v>0</v>
      </c>
      <c r="AB65" s="220">
        <f>H50-AB64</f>
        <v>0</v>
      </c>
      <c r="AC65" s="220">
        <f>H51-AC64</f>
        <v>0</v>
      </c>
      <c r="AD65" s="220">
        <f>H52-AD64</f>
        <v>0</v>
      </c>
      <c r="AE65" s="220">
        <f>AE64-H53</f>
        <v>0</v>
      </c>
    </row>
    <row r="66" spans="1:33">
      <c r="A66" s="385"/>
      <c r="B66" s="386"/>
      <c r="C66" s="386"/>
      <c r="D66" s="386"/>
      <c r="E66" s="386"/>
      <c r="F66" s="386"/>
      <c r="G66" s="386"/>
      <c r="H66" s="386"/>
      <c r="I66" s="386"/>
      <c r="J66" s="386"/>
      <c r="K66" s="386"/>
      <c r="L66" s="63"/>
      <c r="R66" s="380" t="s">
        <v>109</v>
      </c>
      <c r="S66" s="381"/>
      <c r="T66" s="381"/>
      <c r="U66" s="382" t="s">
        <v>110</v>
      </c>
      <c r="V66" s="382"/>
      <c r="X66" s="380"/>
      <c r="Y66" s="383" t="s">
        <v>111</v>
      </c>
      <c r="Z66" s="384"/>
      <c r="AA66" s="387"/>
      <c r="AB66" s="384"/>
      <c r="AD66" s="102" t="s">
        <v>376</v>
      </c>
      <c r="AE66" s="220">
        <f>68392937.41-AE64</f>
        <v>5871193.6200000048</v>
      </c>
    </row>
    <row r="67" spans="1:33">
      <c r="A67" s="385"/>
      <c r="E67" s="220"/>
      <c r="Z67" s="386"/>
      <c r="AA67" s="386"/>
      <c r="AB67" s="386"/>
      <c r="AD67" s="104" t="s">
        <v>377</v>
      </c>
      <c r="AE67" s="273">
        <f>AE66+AE64</f>
        <v>68392937.409999996</v>
      </c>
    </row>
    <row r="68" spans="1:33">
      <c r="A68" s="385"/>
      <c r="E68" s="64"/>
      <c r="R68" s="380"/>
      <c r="S68" s="381"/>
      <c r="T68" s="388"/>
      <c r="U68" s="382"/>
      <c r="V68" s="382"/>
      <c r="X68" s="380"/>
      <c r="Y68" s="383"/>
      <c r="Z68" s="386"/>
      <c r="AA68" s="386"/>
      <c r="AB68" s="386"/>
      <c r="AE68" s="220">
        <f>62521743.79-AE64</f>
        <v>0</v>
      </c>
      <c r="AG68" s="137"/>
    </row>
    <row r="69" spans="1:33">
      <c r="S69" s="231"/>
      <c r="T69" s="107"/>
      <c r="U69" s="107"/>
      <c r="V69" s="107"/>
      <c r="W69" s="107"/>
      <c r="X69" s="231"/>
      <c r="Y69" s="231"/>
      <c r="Z69" s="231"/>
      <c r="AA69" s="107"/>
      <c r="AB69" s="231"/>
      <c r="AC69" s="231"/>
      <c r="AD69" s="231"/>
      <c r="AE69" s="107"/>
    </row>
    <row r="70" spans="1:33">
      <c r="R70" s="62" t="s">
        <v>378</v>
      </c>
      <c r="S70" s="113" t="s">
        <v>131</v>
      </c>
      <c r="T70" s="113" t="s">
        <v>132</v>
      </c>
      <c r="U70" s="113" t="s">
        <v>133</v>
      </c>
      <c r="V70" s="113" t="s">
        <v>134</v>
      </c>
      <c r="W70" s="113" t="s">
        <v>315</v>
      </c>
      <c r="X70" s="113" t="s">
        <v>316</v>
      </c>
      <c r="Y70" s="113" t="s">
        <v>317</v>
      </c>
      <c r="Z70" s="113" t="s">
        <v>318</v>
      </c>
      <c r="AA70" s="113" t="s">
        <v>319</v>
      </c>
      <c r="AB70" s="113" t="s">
        <v>321</v>
      </c>
      <c r="AC70" s="113" t="s">
        <v>322</v>
      </c>
      <c r="AD70" s="113" t="s">
        <v>323</v>
      </c>
      <c r="AE70" s="115" t="s">
        <v>12</v>
      </c>
    </row>
    <row r="71" spans="1:33">
      <c r="C71" s="125" t="s">
        <v>379</v>
      </c>
      <c r="R71" s="62" t="s">
        <v>380</v>
      </c>
      <c r="S71" s="199">
        <f t="shared" ref="S71:AD71" si="35">S56</f>
        <v>9502229.8300000001</v>
      </c>
      <c r="T71" s="199">
        <f t="shared" si="35"/>
        <v>9863334.6199999992</v>
      </c>
      <c r="U71" s="199">
        <f t="shared" si="35"/>
        <v>11673365.35</v>
      </c>
      <c r="V71" s="199">
        <f t="shared" si="35"/>
        <v>9767509.6400000006</v>
      </c>
      <c r="W71" s="199">
        <f t="shared" si="35"/>
        <v>11080309.600000001</v>
      </c>
      <c r="X71" s="199">
        <f t="shared" si="35"/>
        <v>10433551.120000001</v>
      </c>
      <c r="Y71" s="199">
        <f t="shared" si="35"/>
        <v>0</v>
      </c>
      <c r="Z71" s="199">
        <f t="shared" si="35"/>
        <v>0</v>
      </c>
      <c r="AA71" s="199">
        <f t="shared" si="35"/>
        <v>0</v>
      </c>
      <c r="AB71" s="199">
        <f t="shared" si="35"/>
        <v>0</v>
      </c>
      <c r="AC71" s="199">
        <f t="shared" si="35"/>
        <v>0</v>
      </c>
      <c r="AD71" s="199">
        <f t="shared" si="35"/>
        <v>0</v>
      </c>
      <c r="AE71" s="199">
        <f>SUM(S71:AD71)</f>
        <v>62320300.159999996</v>
      </c>
    </row>
    <row r="72" spans="1:33">
      <c r="A72" s="140" t="s">
        <v>381</v>
      </c>
      <c r="B72" s="274" t="s">
        <v>382</v>
      </c>
      <c r="C72" s="140" t="s">
        <v>383</v>
      </c>
      <c r="D72" s="140" t="s">
        <v>132</v>
      </c>
      <c r="E72" s="274" t="s">
        <v>133</v>
      </c>
      <c r="F72" s="274" t="s">
        <v>134</v>
      </c>
      <c r="G72" s="263"/>
      <c r="H72" s="400" t="s">
        <v>315</v>
      </c>
      <c r="I72" s="401"/>
      <c r="J72" s="228" t="s">
        <v>316</v>
      </c>
      <c r="K72" s="140" t="s">
        <v>317</v>
      </c>
      <c r="L72" s="228" t="s">
        <v>318</v>
      </c>
      <c r="M72" s="275" t="s">
        <v>319</v>
      </c>
      <c r="N72" s="140" t="s">
        <v>321</v>
      </c>
      <c r="O72" s="228" t="s">
        <v>322</v>
      </c>
      <c r="R72" s="62" t="s">
        <v>384</v>
      </c>
      <c r="S72" s="65">
        <f>10680236.85</f>
        <v>10680236.85</v>
      </c>
      <c r="T72" s="65">
        <v>10150953.99</v>
      </c>
      <c r="U72" s="65">
        <f>9916523.05</f>
        <v>9916523.0500000007</v>
      </c>
      <c r="V72" s="65">
        <f>11591995.86</f>
        <v>11591995.859999999</v>
      </c>
      <c r="W72" s="252"/>
      <c r="X72" s="252"/>
      <c r="Y72" s="252"/>
      <c r="Z72" s="252"/>
      <c r="AA72" s="252"/>
      <c r="AB72" s="252"/>
      <c r="AC72" s="252"/>
      <c r="AD72" s="252"/>
      <c r="AE72" s="199">
        <f>SUM(S72:AD72)</f>
        <v>42339709.75</v>
      </c>
    </row>
    <row r="73" spans="1:33">
      <c r="A73" s="276">
        <v>4383.53</v>
      </c>
      <c r="B73" s="276">
        <v>4383.53</v>
      </c>
      <c r="C73" s="105">
        <v>2004</v>
      </c>
      <c r="D73" s="63">
        <v>4383.53</v>
      </c>
      <c r="E73" s="276">
        <v>4383.53</v>
      </c>
      <c r="F73" s="276">
        <v>4383.53</v>
      </c>
      <c r="G73" s="271"/>
      <c r="H73" s="404">
        <v>4383.53</v>
      </c>
      <c r="I73" s="401"/>
      <c r="J73" s="428">
        <v>4383.53</v>
      </c>
      <c r="K73" s="279"/>
      <c r="L73" s="428"/>
      <c r="M73" s="278"/>
      <c r="N73" s="63"/>
      <c r="O73" s="279"/>
      <c r="R73" s="62" t="s">
        <v>385</v>
      </c>
      <c r="S73" s="239">
        <f>S71/S72</f>
        <v>0.88970216329987106</v>
      </c>
      <c r="T73" s="239">
        <f>T71/T72</f>
        <v>0.97166577936582677</v>
      </c>
      <c r="U73" s="239">
        <f>U71/U72</f>
        <v>1.1771631338062587</v>
      </c>
      <c r="V73" s="239">
        <f>V71/V72</f>
        <v>0.84260810286383259</v>
      </c>
      <c r="W73" s="252"/>
      <c r="X73" s="252"/>
      <c r="Y73" s="252"/>
      <c r="Z73" s="252"/>
      <c r="AA73" s="252"/>
      <c r="AB73" s="252"/>
      <c r="AC73" s="252"/>
      <c r="AD73" s="252"/>
      <c r="AE73" s="239">
        <f>AE72/AE56</f>
        <v>0.67938873274515388</v>
      </c>
      <c r="AF73" s="137"/>
    </row>
    <row r="74" spans="1:33">
      <c r="A74" s="280">
        <v>57.84</v>
      </c>
      <c r="B74" s="280">
        <v>57.84</v>
      </c>
      <c r="C74" s="105">
        <v>2005</v>
      </c>
      <c r="D74" s="62">
        <v>57.84</v>
      </c>
      <c r="E74" s="280">
        <v>57.84</v>
      </c>
      <c r="F74" s="280">
        <v>57.84</v>
      </c>
      <c r="G74" s="271"/>
      <c r="H74" s="280">
        <v>57.84</v>
      </c>
      <c r="I74" s="260"/>
      <c r="J74" s="271">
        <v>57.84</v>
      </c>
      <c r="K74" s="281"/>
      <c r="L74" s="271"/>
      <c r="M74" s="282"/>
      <c r="O74" s="281"/>
    </row>
    <row r="75" spans="1:33">
      <c r="A75" s="276">
        <v>1022.7</v>
      </c>
      <c r="B75" s="276">
        <v>1022.7</v>
      </c>
      <c r="C75" s="105">
        <v>2006</v>
      </c>
      <c r="D75" s="63">
        <v>1022.7</v>
      </c>
      <c r="E75" s="276">
        <v>1022.7</v>
      </c>
      <c r="F75" s="276">
        <v>1022.7</v>
      </c>
      <c r="G75" s="271"/>
      <c r="H75" s="276">
        <v>1022.7</v>
      </c>
      <c r="I75" s="260"/>
      <c r="J75" s="428">
        <v>1022.7</v>
      </c>
      <c r="K75" s="277"/>
      <c r="L75" s="428"/>
      <c r="M75" s="282"/>
      <c r="N75" s="63"/>
      <c r="O75" s="277"/>
      <c r="T75" s="125" t="s">
        <v>386</v>
      </c>
    </row>
    <row r="76" spans="1:33">
      <c r="A76" s="276">
        <v>776.55</v>
      </c>
      <c r="B76" s="276">
        <v>776.55</v>
      </c>
      <c r="C76" s="105">
        <v>2007</v>
      </c>
      <c r="D76" s="63">
        <v>776.55</v>
      </c>
      <c r="E76" s="276">
        <v>776.55</v>
      </c>
      <c r="F76" s="276">
        <v>776.55</v>
      </c>
      <c r="G76" s="271"/>
      <c r="H76" s="276">
        <v>776.55</v>
      </c>
      <c r="I76" s="260"/>
      <c r="J76" s="428">
        <v>776.55</v>
      </c>
      <c r="K76" s="277"/>
      <c r="L76" s="428"/>
      <c r="M76" s="282"/>
      <c r="N76" s="63"/>
      <c r="O76" s="277"/>
    </row>
    <row r="77" spans="1:33">
      <c r="A77" s="276">
        <v>2046.08</v>
      </c>
      <c r="B77" s="276">
        <v>2046.08</v>
      </c>
      <c r="C77" s="105">
        <v>2008</v>
      </c>
      <c r="D77" s="63">
        <v>2046.08</v>
      </c>
      <c r="E77" s="276">
        <v>2046.08</v>
      </c>
      <c r="F77" s="276">
        <v>2046.08</v>
      </c>
      <c r="G77" s="271"/>
      <c r="H77" s="276">
        <v>2046.08</v>
      </c>
      <c r="I77" s="260"/>
      <c r="J77" s="428">
        <v>2046.08</v>
      </c>
      <c r="K77" s="277"/>
      <c r="L77" s="428"/>
      <c r="M77" s="282"/>
      <c r="N77" s="63"/>
      <c r="O77" s="277"/>
      <c r="T77" s="125" t="s">
        <v>387</v>
      </c>
    </row>
    <row r="78" spans="1:33">
      <c r="A78" s="276">
        <v>2230.9</v>
      </c>
      <c r="B78" s="276">
        <v>2230.9</v>
      </c>
      <c r="C78" s="105">
        <v>2009</v>
      </c>
      <c r="D78" s="63">
        <v>2230.9</v>
      </c>
      <c r="E78" s="276">
        <v>2230.9</v>
      </c>
      <c r="F78" s="276">
        <v>2230.9</v>
      </c>
      <c r="G78" s="271"/>
      <c r="H78" s="276">
        <v>2230.9</v>
      </c>
      <c r="I78" s="260"/>
      <c r="J78" s="428">
        <v>2230.9</v>
      </c>
      <c r="K78" s="277"/>
      <c r="L78" s="428"/>
      <c r="M78" s="282"/>
      <c r="N78" s="63"/>
      <c r="O78" s="277"/>
      <c r="Q78" s="113" t="s">
        <v>148</v>
      </c>
      <c r="R78" s="113" t="s">
        <v>388</v>
      </c>
      <c r="S78" s="113" t="str">
        <f t="shared" ref="S78:AE78" si="36">S3</f>
        <v>JANEIRO</v>
      </c>
      <c r="T78" s="113" t="str">
        <f t="shared" si="36"/>
        <v>FEVEREIRO</v>
      </c>
      <c r="U78" s="113" t="str">
        <f t="shared" si="36"/>
        <v>MARÇO</v>
      </c>
      <c r="V78" s="113" t="str">
        <f t="shared" si="36"/>
        <v>ABRIL</v>
      </c>
      <c r="W78" s="113" t="str">
        <f t="shared" si="36"/>
        <v>MAIO</v>
      </c>
      <c r="X78" s="113" t="str">
        <f t="shared" si="36"/>
        <v>JUNHO</v>
      </c>
      <c r="Y78" s="113" t="str">
        <f t="shared" si="36"/>
        <v>JULHO</v>
      </c>
      <c r="Z78" s="113" t="str">
        <f t="shared" si="36"/>
        <v>AGOSTO</v>
      </c>
      <c r="AA78" s="113" t="str">
        <f t="shared" si="36"/>
        <v>SETEMBRO</v>
      </c>
      <c r="AB78" s="113" t="str">
        <f t="shared" si="36"/>
        <v>OUTUBRO</v>
      </c>
      <c r="AC78" s="113" t="str">
        <f t="shared" si="36"/>
        <v>NOVEMBRO</v>
      </c>
      <c r="AD78" s="113" t="str">
        <f t="shared" si="36"/>
        <v>DEZEMBRO</v>
      </c>
      <c r="AE78" s="113" t="str">
        <f t="shared" si="36"/>
        <v>TOTAL</v>
      </c>
    </row>
    <row r="79" spans="1:33">
      <c r="A79" s="276">
        <v>7980.88</v>
      </c>
      <c r="B79" s="276">
        <v>7980.88</v>
      </c>
      <c r="C79" s="105">
        <v>2010</v>
      </c>
      <c r="D79" s="63">
        <v>7980.88</v>
      </c>
      <c r="E79" s="276">
        <v>7980.88</v>
      </c>
      <c r="F79" s="276">
        <v>7980.88</v>
      </c>
      <c r="G79" s="271"/>
      <c r="H79" s="276">
        <v>7980.88</v>
      </c>
      <c r="I79" s="260"/>
      <c r="J79" s="428">
        <v>7980.88</v>
      </c>
      <c r="K79" s="277"/>
      <c r="L79" s="428"/>
      <c r="M79" s="282"/>
      <c r="N79" s="63"/>
      <c r="O79" s="277"/>
      <c r="Q79" s="228" t="s">
        <v>389</v>
      </c>
      <c r="R79" s="113" t="s">
        <v>312</v>
      </c>
      <c r="S79" s="115">
        <f t="shared" ref="S79:AE79" si="37">S20</f>
        <v>11656177.993336219</v>
      </c>
      <c r="T79" s="115">
        <f t="shared" si="37"/>
        <v>11901795.705152275</v>
      </c>
      <c r="U79" s="115">
        <f t="shared" si="37"/>
        <v>11153322.249607213</v>
      </c>
      <c r="V79" s="115">
        <f t="shared" si="37"/>
        <v>11555276.071185496</v>
      </c>
      <c r="W79" s="115">
        <f t="shared" si="37"/>
        <v>11434839.319188649</v>
      </c>
      <c r="X79" s="115">
        <f t="shared" si="37"/>
        <v>10425399.837078189</v>
      </c>
      <c r="Y79" s="115">
        <f t="shared" si="37"/>
        <v>12139133.799852779</v>
      </c>
      <c r="Z79" s="115">
        <f t="shared" si="37"/>
        <v>10647379.455613729</v>
      </c>
      <c r="AA79" s="115">
        <f t="shared" si="37"/>
        <v>10539082.714075398</v>
      </c>
      <c r="AB79" s="115">
        <f t="shared" si="37"/>
        <v>11412777.845785208</v>
      </c>
      <c r="AC79" s="115">
        <f t="shared" si="37"/>
        <v>10676818.409967704</v>
      </c>
      <c r="AD79" s="115">
        <f t="shared" si="37"/>
        <v>16835806.869157109</v>
      </c>
      <c r="AE79" s="115">
        <f t="shared" si="37"/>
        <v>140377810.26999998</v>
      </c>
      <c r="AG79" s="64"/>
    </row>
    <row r="80" spans="1:33">
      <c r="A80" s="276">
        <v>172953.87</v>
      </c>
      <c r="B80" s="276">
        <v>172953.87</v>
      </c>
      <c r="C80" s="105">
        <v>2011</v>
      </c>
      <c r="D80" s="63">
        <v>172953.87</v>
      </c>
      <c r="E80" s="276">
        <v>172953.87</v>
      </c>
      <c r="F80" s="276">
        <v>172953.87</v>
      </c>
      <c r="G80" s="271"/>
      <c r="H80" s="276">
        <v>172953.87</v>
      </c>
      <c r="I80" s="260"/>
      <c r="J80" s="428">
        <v>172953.87</v>
      </c>
      <c r="K80" s="277"/>
      <c r="L80" s="428"/>
      <c r="M80" s="282"/>
      <c r="N80" s="63"/>
      <c r="O80" s="277"/>
    </row>
    <row r="81" spans="1:32">
      <c r="A81" s="276">
        <v>2016261.2</v>
      </c>
      <c r="B81" s="276">
        <v>2002707.58</v>
      </c>
      <c r="C81" s="105">
        <v>2012</v>
      </c>
      <c r="D81" s="63">
        <v>1989153.96</v>
      </c>
      <c r="E81" s="276">
        <v>1975600.34</v>
      </c>
      <c r="F81" s="276">
        <v>1962046.72</v>
      </c>
      <c r="G81" s="271"/>
      <c r="H81" s="276">
        <v>1948493.1</v>
      </c>
      <c r="I81" s="260"/>
      <c r="J81" s="428">
        <v>1934939.48</v>
      </c>
      <c r="K81" s="277"/>
      <c r="L81" s="428"/>
      <c r="M81" s="282"/>
      <c r="N81" s="63"/>
      <c r="O81" s="277"/>
      <c r="Q81" s="228">
        <f t="shared" ref="Q81:AE81" si="38">Q13</f>
        <v>10</v>
      </c>
      <c r="R81" s="228" t="str">
        <f t="shared" si="38"/>
        <v>SMS</v>
      </c>
      <c r="S81" s="115">
        <f t="shared" si="38"/>
        <v>2259599.2415075586</v>
      </c>
      <c r="T81" s="115">
        <f t="shared" si="38"/>
        <v>2308683.2557489532</v>
      </c>
      <c r="U81" s="115">
        <f t="shared" si="38"/>
        <v>2159109.0191043536</v>
      </c>
      <c r="V81" s="115">
        <f t="shared" si="38"/>
        <v>2239435.09557846</v>
      </c>
      <c r="W81" s="115">
        <f t="shared" si="38"/>
        <v>2215367.1274889773</v>
      </c>
      <c r="X81" s="115">
        <f t="shared" si="38"/>
        <v>2013641.6837113632</v>
      </c>
      <c r="Y81" s="115">
        <f t="shared" si="38"/>
        <v>2356112.6790351272</v>
      </c>
      <c r="Z81" s="115">
        <f t="shared" si="38"/>
        <v>2058001.8834581042</v>
      </c>
      <c r="AA81" s="115">
        <f t="shared" si="38"/>
        <v>2036359.9637257643</v>
      </c>
      <c r="AB81" s="115">
        <f t="shared" si="38"/>
        <v>2210958.3832387594</v>
      </c>
      <c r="AC81" s="115">
        <f t="shared" si="38"/>
        <v>2063884.9366144845</v>
      </c>
      <c r="AD81" s="115">
        <f t="shared" si="38"/>
        <v>3294691.4407880898</v>
      </c>
      <c r="AE81" s="115">
        <f t="shared" si="38"/>
        <v>27215844.709999997</v>
      </c>
    </row>
    <row r="82" spans="1:32">
      <c r="A82" s="276">
        <v>10667.58</v>
      </c>
      <c r="B82" s="276">
        <v>10667.58</v>
      </c>
      <c r="C82" s="105">
        <v>2013</v>
      </c>
      <c r="D82" s="63">
        <v>10667.58</v>
      </c>
      <c r="E82" s="276">
        <v>10667.58</v>
      </c>
      <c r="F82" s="276">
        <v>10667.58</v>
      </c>
      <c r="G82" s="271"/>
      <c r="H82" s="276">
        <v>10667.58</v>
      </c>
      <c r="I82" s="260"/>
      <c r="J82" s="428">
        <v>10667.58</v>
      </c>
      <c r="K82" s="277"/>
      <c r="L82" s="428"/>
      <c r="M82" s="282"/>
      <c r="N82" s="63"/>
      <c r="O82" s="277"/>
      <c r="Q82" s="252"/>
      <c r="R82" s="252" t="s">
        <v>390</v>
      </c>
      <c r="S82" s="115">
        <f>(S81/S79)*100</f>
        <v>19.385421557558239</v>
      </c>
      <c r="T82" s="115">
        <f t="shared" ref="T82:AD82" si="39">(T81/T79)*100</f>
        <v>19.397772512172484</v>
      </c>
      <c r="U82" s="115">
        <f t="shared" si="39"/>
        <v>19.358438416682446</v>
      </c>
      <c r="V82" s="115">
        <f t="shared" si="39"/>
        <v>19.380195520925437</v>
      </c>
      <c r="W82" s="115">
        <f t="shared" si="39"/>
        <v>19.373836970069181</v>
      </c>
      <c r="X82" s="115">
        <f t="shared" si="39"/>
        <v>19.314766965098045</v>
      </c>
      <c r="Y82" s="115">
        <f t="shared" si="39"/>
        <v>19.409232305057067</v>
      </c>
      <c r="Z82" s="115">
        <f t="shared" si="39"/>
        <v>19.328717380998782</v>
      </c>
      <c r="AA82" s="115">
        <f t="shared" si="39"/>
        <v>19.321984834658505</v>
      </c>
      <c r="AB82" s="115">
        <f t="shared" si="39"/>
        <v>19.372657674706922</v>
      </c>
      <c r="AC82" s="115">
        <f t="shared" si="39"/>
        <v>19.330523919819363</v>
      </c>
      <c r="AD82" s="115">
        <f t="shared" si="39"/>
        <v>19.569548797948642</v>
      </c>
      <c r="AE82" s="115">
        <f>(AE81/AE79)*100</f>
        <v>19.387568916806412</v>
      </c>
    </row>
    <row r="83" spans="1:32">
      <c r="A83" s="276">
        <v>536457.43000000005</v>
      </c>
      <c r="B83" s="276">
        <v>513641.5</v>
      </c>
      <c r="C83" s="105">
        <v>2014</v>
      </c>
      <c r="D83" s="63">
        <v>490825.57</v>
      </c>
      <c r="E83" s="276">
        <v>468009.64</v>
      </c>
      <c r="F83" s="276">
        <v>445193.71</v>
      </c>
      <c r="G83" s="271"/>
      <c r="H83" s="276">
        <v>422377.78</v>
      </c>
      <c r="I83" s="260"/>
      <c r="J83" s="428">
        <v>399561.85</v>
      </c>
      <c r="K83" s="277"/>
      <c r="L83" s="428"/>
      <c r="M83" s="282"/>
      <c r="N83" s="63"/>
      <c r="O83" s="277"/>
      <c r="U83" s="137"/>
      <c r="V83" s="137"/>
      <c r="W83" s="137"/>
      <c r="X83" s="64"/>
      <c r="Y83" s="137"/>
      <c r="Z83" s="64"/>
    </row>
    <row r="84" spans="1:32">
      <c r="A84" s="276">
        <v>3209482.31</v>
      </c>
      <c r="B84" s="276">
        <v>3196828.23</v>
      </c>
      <c r="C84" s="105">
        <v>2015</v>
      </c>
      <c r="D84" s="63">
        <v>3184060.76</v>
      </c>
      <c r="E84" s="276">
        <v>3171406.68</v>
      </c>
      <c r="F84" s="276">
        <v>3157592.6</v>
      </c>
      <c r="G84" s="271"/>
      <c r="H84" s="276">
        <v>3144938.52</v>
      </c>
      <c r="I84" s="260"/>
      <c r="J84" s="428">
        <v>3132284.44</v>
      </c>
      <c r="K84" s="277"/>
      <c r="L84" s="428"/>
      <c r="M84" s="282"/>
      <c r="N84" s="63"/>
      <c r="O84" s="277"/>
      <c r="R84" s="113" t="s">
        <v>391</v>
      </c>
      <c r="S84" s="252" t="s">
        <v>392</v>
      </c>
      <c r="T84" s="252" t="s">
        <v>393</v>
      </c>
      <c r="U84" s="252" t="s">
        <v>394</v>
      </c>
      <c r="V84" s="113" t="s">
        <v>151</v>
      </c>
      <c r="W84" s="113" t="s">
        <v>395</v>
      </c>
      <c r="X84" s="113" t="s">
        <v>396</v>
      </c>
      <c r="Y84" s="113" t="s">
        <v>167</v>
      </c>
      <c r="Z84" s="252" t="s">
        <v>397</v>
      </c>
      <c r="AA84" s="113" t="s">
        <v>398</v>
      </c>
    </row>
    <row r="85" spans="1:32">
      <c r="A85" s="276">
        <v>3398020.7</v>
      </c>
      <c r="B85" s="276">
        <v>3376054.18</v>
      </c>
      <c r="C85" s="105">
        <v>2016</v>
      </c>
      <c r="D85" s="63">
        <v>3354087.66</v>
      </c>
      <c r="E85" s="276">
        <v>3332121.14</v>
      </c>
      <c r="F85" s="276">
        <v>3255394.06</v>
      </c>
      <c r="G85" s="271"/>
      <c r="H85" s="276">
        <v>3241116.4</v>
      </c>
      <c r="I85" s="260"/>
      <c r="J85" s="428">
        <v>3183940.86</v>
      </c>
      <c r="K85" s="277"/>
      <c r="L85" s="428"/>
      <c r="M85" s="282"/>
      <c r="N85" s="63"/>
      <c r="O85" s="277"/>
      <c r="R85" s="113" t="s">
        <v>399</v>
      </c>
      <c r="S85" s="48">
        <f>[1]Cruz!I28</f>
        <v>144789216.63000003</v>
      </c>
      <c r="T85" s="199">
        <f>S85-U85</f>
        <v>76396279.220000029</v>
      </c>
      <c r="U85" s="48">
        <f>AE67</f>
        <v>68392937.409999996</v>
      </c>
      <c r="V85" s="48">
        <f>AE64</f>
        <v>62521743.789999992</v>
      </c>
      <c r="W85" s="48">
        <f>U85-V85</f>
        <v>5871193.6200000048</v>
      </c>
      <c r="X85" s="48">
        <f>58396881.51</f>
        <v>58396881.509999998</v>
      </c>
      <c r="Y85" s="199">
        <f>V85-X85</f>
        <v>4124862.2799999937</v>
      </c>
      <c r="Z85" s="199">
        <f>W85+Y85</f>
        <v>9996055.8999999985</v>
      </c>
      <c r="AA85" s="283">
        <f>Z85-W85</f>
        <v>4124862.2799999937</v>
      </c>
    </row>
    <row r="86" spans="1:32">
      <c r="A86" s="276">
        <v>2431405.69</v>
      </c>
      <c r="B86" s="276">
        <v>2394120.19</v>
      </c>
      <c r="C86" s="105">
        <v>2017</v>
      </c>
      <c r="D86" s="63">
        <v>2356834.69</v>
      </c>
      <c r="E86" s="276">
        <v>2319549.19</v>
      </c>
      <c r="F86" s="276">
        <v>2282263.69</v>
      </c>
      <c r="G86" s="271"/>
      <c r="H86" s="276">
        <v>2244978.19</v>
      </c>
      <c r="I86" s="260"/>
      <c r="J86" s="428">
        <v>2207692.69</v>
      </c>
      <c r="K86" s="277"/>
      <c r="L86" s="428"/>
      <c r="M86" s="282"/>
      <c r="N86" s="63"/>
      <c r="O86" s="277"/>
      <c r="T86" s="125" t="s">
        <v>400</v>
      </c>
    </row>
    <row r="87" spans="1:32">
      <c r="A87" s="276">
        <v>1951977.07</v>
      </c>
      <c r="B87" s="276">
        <v>1951977.07</v>
      </c>
      <c r="C87" s="105">
        <v>2018</v>
      </c>
      <c r="D87" s="63">
        <v>1950772.37</v>
      </c>
      <c r="E87" s="276">
        <v>1950772.37</v>
      </c>
      <c r="F87" s="276">
        <v>1950772.37</v>
      </c>
      <c r="G87" s="271"/>
      <c r="H87" s="276">
        <v>1950038.57</v>
      </c>
      <c r="I87" s="260"/>
      <c r="J87" s="428">
        <v>1950038.57</v>
      </c>
      <c r="K87" s="277"/>
      <c r="L87" s="428"/>
      <c r="M87" s="282"/>
      <c r="N87" s="63"/>
      <c r="O87" s="277"/>
      <c r="Q87" s="113" t="s">
        <v>148</v>
      </c>
      <c r="R87" s="113" t="s">
        <v>401</v>
      </c>
      <c r="S87" s="199">
        <f t="shared" ref="S87:AE87" si="40">S40</f>
        <v>9502229.8300000001</v>
      </c>
      <c r="T87" s="199">
        <f t="shared" si="40"/>
        <v>9870035.4800000004</v>
      </c>
      <c r="U87" s="199">
        <f t="shared" si="40"/>
        <v>11697778.77</v>
      </c>
      <c r="V87" s="199">
        <f t="shared" si="40"/>
        <v>9795349.0399999991</v>
      </c>
      <c r="W87" s="199">
        <f t="shared" si="40"/>
        <v>11144329.4</v>
      </c>
      <c r="X87" s="199">
        <f t="shared" si="40"/>
        <v>10512021.270000001</v>
      </c>
      <c r="Y87" s="199">
        <f t="shared" si="40"/>
        <v>0</v>
      </c>
      <c r="Z87" s="199">
        <f t="shared" si="40"/>
        <v>0</v>
      </c>
      <c r="AA87" s="199">
        <f t="shared" si="40"/>
        <v>0</v>
      </c>
      <c r="AB87" s="199">
        <f t="shared" si="40"/>
        <v>0</v>
      </c>
      <c r="AC87" s="199">
        <f t="shared" si="40"/>
        <v>0</v>
      </c>
      <c r="AD87" s="199">
        <f t="shared" si="40"/>
        <v>0</v>
      </c>
      <c r="AE87" s="199">
        <f t="shared" si="40"/>
        <v>62521743.790000007</v>
      </c>
      <c r="AF87" s="64"/>
    </row>
    <row r="88" spans="1:32">
      <c r="A88" s="276">
        <v>1602004.85</v>
      </c>
      <c r="B88" s="276">
        <v>1602004.85</v>
      </c>
      <c r="C88" s="105">
        <v>2019</v>
      </c>
      <c r="D88" s="63">
        <v>1597163.51</v>
      </c>
      <c r="E88" s="276">
        <v>1595013.1</v>
      </c>
      <c r="F88" s="276">
        <v>1595013.1</v>
      </c>
      <c r="G88" s="271"/>
      <c r="H88" s="276">
        <v>1590916.36</v>
      </c>
      <c r="I88" s="260"/>
      <c r="J88" s="428">
        <v>1590916.36</v>
      </c>
      <c r="K88" s="277"/>
      <c r="L88" s="428"/>
      <c r="M88" s="282"/>
      <c r="N88" s="63"/>
      <c r="O88" s="277"/>
    </row>
    <row r="89" spans="1:32">
      <c r="A89" s="63">
        <v>11681226.07</v>
      </c>
      <c r="B89" s="63">
        <v>8367616.3600000003</v>
      </c>
      <c r="C89" s="105">
        <v>2020</v>
      </c>
      <c r="D89" s="63">
        <v>7165670.71</v>
      </c>
      <c r="E89" s="63">
        <v>7195049.4699999997</v>
      </c>
      <c r="F89" s="276">
        <v>6792191.1500000004</v>
      </c>
      <c r="G89" s="271"/>
      <c r="H89" s="398">
        <v>6524062.2000000002</v>
      </c>
      <c r="I89" s="399"/>
      <c r="J89" s="63">
        <v>6409256.2400000002</v>
      </c>
      <c r="K89" s="429"/>
      <c r="M89" s="281"/>
      <c r="O89" s="281"/>
      <c r="Q89" s="113">
        <f t="shared" ref="Q89:AE89" si="41">Q33</f>
        <v>10</v>
      </c>
      <c r="R89" s="113" t="str">
        <f t="shared" si="41"/>
        <v>SMSMA</v>
      </c>
      <c r="S89" s="115">
        <f t="shared" si="41"/>
        <v>1923273.17</v>
      </c>
      <c r="T89" s="115">
        <f t="shared" si="41"/>
        <v>1859487.61</v>
      </c>
      <c r="U89" s="115">
        <f t="shared" si="41"/>
        <v>3319884.02</v>
      </c>
      <c r="V89" s="115">
        <f t="shared" si="41"/>
        <v>1694768.04</v>
      </c>
      <c r="W89" s="115">
        <f t="shared" si="41"/>
        <v>2841243.25</v>
      </c>
      <c r="X89" s="115">
        <f t="shared" si="41"/>
        <v>2332380.98</v>
      </c>
      <c r="Y89" s="115">
        <f t="shared" si="41"/>
        <v>0</v>
      </c>
      <c r="Z89" s="115">
        <f t="shared" si="41"/>
        <v>0</v>
      </c>
      <c r="AA89" s="115">
        <f t="shared" si="41"/>
        <v>0</v>
      </c>
      <c r="AB89" s="115">
        <f t="shared" si="41"/>
        <v>0</v>
      </c>
      <c r="AC89" s="115">
        <f t="shared" si="41"/>
        <v>0</v>
      </c>
      <c r="AD89" s="115">
        <f t="shared" si="41"/>
        <v>0</v>
      </c>
      <c r="AE89" s="115">
        <f t="shared" si="41"/>
        <v>13971037.07</v>
      </c>
    </row>
    <row r="90" spans="1:32">
      <c r="A90" s="284">
        <f>SUM(A73:A89)</f>
        <v>27028955.25</v>
      </c>
      <c r="B90" s="284">
        <f>SUM(B73:B89)</f>
        <v>23607069.890000001</v>
      </c>
      <c r="C90" s="261">
        <f>23607069.89-B90</f>
        <v>0</v>
      </c>
      <c r="D90" s="285">
        <f>SUM(D73:D89)</f>
        <v>22290689.159999996</v>
      </c>
      <c r="E90" s="285">
        <f>SUM(E73:E89)</f>
        <v>22209641.859999999</v>
      </c>
      <c r="F90" s="284">
        <f>SUM(F73:F89)</f>
        <v>21642587.329999998</v>
      </c>
      <c r="G90" s="263"/>
      <c r="H90" s="402">
        <f>SUM(H73:H89)</f>
        <v>21269041.050000001</v>
      </c>
      <c r="I90" s="403"/>
      <c r="J90" s="116">
        <f>SUM(J73:J89)</f>
        <v>21010750.420000002</v>
      </c>
      <c r="K90" s="285">
        <f t="shared" ref="K90:O90" si="42">SUM(K73:K89)</f>
        <v>0</v>
      </c>
      <c r="L90" s="284">
        <f t="shared" si="42"/>
        <v>0</v>
      </c>
      <c r="M90" s="199">
        <f t="shared" si="42"/>
        <v>0</v>
      </c>
      <c r="N90" s="286">
        <f t="shared" si="42"/>
        <v>0</v>
      </c>
      <c r="O90" s="199">
        <f t="shared" si="42"/>
        <v>0</v>
      </c>
      <c r="Q90" s="228" t="s">
        <v>402</v>
      </c>
      <c r="R90" s="252" t="s">
        <v>390</v>
      </c>
      <c r="S90" s="115">
        <f t="shared" ref="S90:AD90" si="43">(S89/S87)*100</f>
        <v>20.240229971368731</v>
      </c>
      <c r="T90" s="115">
        <f t="shared" si="43"/>
        <v>18.839725690631461</v>
      </c>
      <c r="U90" s="115">
        <f>(U89/U87)*100</f>
        <v>28.380465088929018</v>
      </c>
      <c r="V90" s="115">
        <f t="shared" si="43"/>
        <v>17.301762633258857</v>
      </c>
      <c r="W90" s="115">
        <f t="shared" si="43"/>
        <v>25.494968319942156</v>
      </c>
      <c r="X90" s="115">
        <f t="shared" si="43"/>
        <v>22.18774981607319</v>
      </c>
      <c r="Y90" s="115" t="e">
        <f t="shared" si="43"/>
        <v>#DIV/0!</v>
      </c>
      <c r="Z90" s="115" t="e">
        <f t="shared" si="43"/>
        <v>#DIV/0!</v>
      </c>
      <c r="AA90" s="115" t="e">
        <f t="shared" si="43"/>
        <v>#DIV/0!</v>
      </c>
      <c r="AB90" s="115" t="e">
        <f t="shared" si="43"/>
        <v>#DIV/0!</v>
      </c>
      <c r="AC90" s="115" t="e">
        <f t="shared" si="43"/>
        <v>#DIV/0!</v>
      </c>
      <c r="AD90" s="115" t="e">
        <f t="shared" si="43"/>
        <v>#DIV/0!</v>
      </c>
      <c r="AE90" s="114">
        <f>(AE89/AE87)*100</f>
        <v>22.345885164249989</v>
      </c>
    </row>
    <row r="91" spans="1:32">
      <c r="A91" s="104" t="s">
        <v>403</v>
      </c>
      <c r="B91" s="64">
        <f>A90-B90</f>
        <v>3421885.3599999994</v>
      </c>
      <c r="C91" s="64"/>
      <c r="D91" s="64">
        <f>B90-D90</f>
        <v>1316380.7300000042</v>
      </c>
      <c r="E91" s="64">
        <f>D90-E90</f>
        <v>81047.29999999702</v>
      </c>
      <c r="F91" s="64">
        <f>E90-F90</f>
        <v>567054.53000000119</v>
      </c>
      <c r="H91" s="64">
        <f>F90-H90</f>
        <v>373546.27999999747</v>
      </c>
      <c r="J91" s="64">
        <f>H90-J90</f>
        <v>258290.62999999896</v>
      </c>
      <c r="K91" s="64"/>
      <c r="L91" s="64"/>
      <c r="M91" s="137"/>
      <c r="N91" s="137"/>
      <c r="O91" s="137"/>
    </row>
    <row r="92" spans="1:32">
      <c r="A92" s="287" t="s">
        <v>404</v>
      </c>
      <c r="B92" s="284">
        <f>22290689.16-B90</f>
        <v>-1316380.7300000004</v>
      </c>
      <c r="C92" s="261"/>
      <c r="D92" s="284"/>
      <c r="E92" s="284"/>
      <c r="F92" s="284"/>
      <c r="G92" s="263"/>
      <c r="H92" s="284"/>
      <c r="I92" s="263"/>
      <c r="J92" s="116"/>
      <c r="K92" s="116"/>
      <c r="L92" s="116">
        <f>K90-L90</f>
        <v>0</v>
      </c>
      <c r="M92" s="116">
        <f>L90-M90</f>
        <v>0</v>
      </c>
      <c r="N92" s="116">
        <f>M90-N90</f>
        <v>0</v>
      </c>
      <c r="O92" s="116">
        <f>N90-O90</f>
        <v>0</v>
      </c>
    </row>
    <row r="93" spans="1:32">
      <c r="D93" s="63"/>
    </row>
    <row r="94" spans="1:32">
      <c r="R94" s="228" t="s">
        <v>405</v>
      </c>
      <c r="S94" s="113" t="str">
        <f t="shared" ref="S94:AE94" si="44">S43</f>
        <v>Janeiro</v>
      </c>
      <c r="T94" s="113" t="str">
        <f t="shared" si="44"/>
        <v>Fevereiro</v>
      </c>
      <c r="U94" s="113" t="str">
        <f t="shared" si="44"/>
        <v>Março</v>
      </c>
      <c r="V94" s="113" t="str">
        <f t="shared" si="44"/>
        <v>Abril</v>
      </c>
      <c r="W94" s="113" t="str">
        <f t="shared" si="44"/>
        <v>Maio</v>
      </c>
      <c r="X94" s="113" t="str">
        <f t="shared" si="44"/>
        <v>Junho</v>
      </c>
      <c r="Y94" s="113" t="str">
        <f t="shared" si="44"/>
        <v>Julho</v>
      </c>
      <c r="Z94" s="113" t="str">
        <f t="shared" si="44"/>
        <v>Agosto</v>
      </c>
      <c r="AA94" s="113" t="str">
        <f t="shared" si="44"/>
        <v>Setembro</v>
      </c>
      <c r="AB94" s="113" t="str">
        <f t="shared" si="44"/>
        <v>Outubro</v>
      </c>
      <c r="AC94" s="113" t="str">
        <f t="shared" si="44"/>
        <v>Novembro</v>
      </c>
      <c r="AD94" s="113" t="str">
        <f t="shared" si="44"/>
        <v>Dezembro</v>
      </c>
      <c r="AE94" s="113" t="str">
        <f t="shared" si="44"/>
        <v>TOTAL</v>
      </c>
    </row>
    <row r="95" spans="1:32">
      <c r="Q95" s="360"/>
      <c r="R95" s="361" t="s">
        <v>328</v>
      </c>
      <c r="S95" s="239">
        <f>S89/$AE$89</f>
        <v>0.13766144634529984</v>
      </c>
      <c r="T95" s="239">
        <f t="shared" ref="T95:AD95" si="45">T89/$AE$89</f>
        <v>0.13309588978135894</v>
      </c>
      <c r="U95" s="239">
        <f t="shared" si="45"/>
        <v>0.23762616929338659</v>
      </c>
      <c r="V95" s="239">
        <f t="shared" si="45"/>
        <v>0.12130581513087346</v>
      </c>
      <c r="W95" s="239">
        <f t="shared" si="45"/>
        <v>0.2033666674681581</v>
      </c>
      <c r="X95" s="239">
        <f t="shared" si="45"/>
        <v>0.16694401198092304</v>
      </c>
      <c r="Y95" s="239">
        <f t="shared" si="45"/>
        <v>0</v>
      </c>
      <c r="Z95" s="239">
        <f t="shared" si="45"/>
        <v>0</v>
      </c>
      <c r="AA95" s="239">
        <f t="shared" si="45"/>
        <v>0</v>
      </c>
      <c r="AB95" s="239">
        <f t="shared" si="45"/>
        <v>0</v>
      </c>
      <c r="AC95" s="239">
        <f t="shared" si="45"/>
        <v>0</v>
      </c>
      <c r="AD95" s="239">
        <f t="shared" si="45"/>
        <v>0</v>
      </c>
      <c r="AE95" s="239">
        <f>AE89/$AE$20</f>
        <v>9.9524540546175891E-2</v>
      </c>
    </row>
    <row r="98" spans="2:31">
      <c r="S98" s="125" t="s">
        <v>406</v>
      </c>
    </row>
    <row r="99" spans="2:31">
      <c r="Q99" s="245" t="s">
        <v>329</v>
      </c>
      <c r="R99" s="246"/>
      <c r="S99" s="239" t="s">
        <v>330</v>
      </c>
      <c r="T99" s="247">
        <f>S89+T89</f>
        <v>3782760.7800000003</v>
      </c>
      <c r="U99" s="239" t="s">
        <v>331</v>
      </c>
      <c r="V99" s="248">
        <f>U89+V89</f>
        <v>5014652.0600000005</v>
      </c>
      <c r="W99" s="239" t="s">
        <v>332</v>
      </c>
      <c r="X99" s="248">
        <f>W89+X89</f>
        <v>5173624.2300000004</v>
      </c>
      <c r="Y99" s="239" t="s">
        <v>333</v>
      </c>
      <c r="Z99" s="248">
        <f>Y89+Z89</f>
        <v>0</v>
      </c>
      <c r="AA99" s="239" t="s">
        <v>334</v>
      </c>
      <c r="AB99" s="248">
        <f>AA89+AB89</f>
        <v>0</v>
      </c>
      <c r="AC99" s="239" t="s">
        <v>335</v>
      </c>
      <c r="AD99" s="248">
        <f>AC89+AD89</f>
        <v>0</v>
      </c>
      <c r="AE99" s="48">
        <f>SUM(S99:AD99)</f>
        <v>13971037.07</v>
      </c>
    </row>
    <row r="101" spans="2:31">
      <c r="T101" s="125" t="s">
        <v>407</v>
      </c>
    </row>
    <row r="102" spans="2:31">
      <c r="R102" s="252" t="s">
        <v>408</v>
      </c>
      <c r="S102" s="48">
        <f t="shared" ref="S102:AE102" si="46">S81-S89</f>
        <v>336326.07150755869</v>
      </c>
      <c r="T102" s="48">
        <f t="shared" si="46"/>
        <v>449195.6457489531</v>
      </c>
      <c r="U102" s="48">
        <f t="shared" si="46"/>
        <v>-1160775.0008956464</v>
      </c>
      <c r="V102" s="48">
        <f t="shared" si="46"/>
        <v>544667.05557845999</v>
      </c>
      <c r="W102" s="48">
        <f t="shared" si="46"/>
        <v>-625876.12251102272</v>
      </c>
      <c r="X102" s="48">
        <f t="shared" si="46"/>
        <v>-318739.29628863675</v>
      </c>
      <c r="Y102" s="48">
        <f t="shared" si="46"/>
        <v>2356112.6790351272</v>
      </c>
      <c r="Z102" s="48">
        <f t="shared" si="46"/>
        <v>2058001.8834581042</v>
      </c>
      <c r="AA102" s="48">
        <f t="shared" si="46"/>
        <v>2036359.9637257643</v>
      </c>
      <c r="AB102" s="48">
        <f t="shared" si="46"/>
        <v>2210958.3832387594</v>
      </c>
      <c r="AC102" s="48">
        <f t="shared" si="46"/>
        <v>2063884.9366144845</v>
      </c>
      <c r="AD102" s="48">
        <f t="shared" si="46"/>
        <v>3294691.4407880898</v>
      </c>
      <c r="AE102" s="48">
        <f t="shared" si="46"/>
        <v>13244807.639999997</v>
      </c>
    </row>
    <row r="105" spans="2:31">
      <c r="B105" s="380" t="s">
        <v>109</v>
      </c>
      <c r="C105" s="381"/>
      <c r="D105" s="381"/>
      <c r="E105" s="382" t="s">
        <v>110</v>
      </c>
      <c r="F105" s="382"/>
      <c r="H105" s="380"/>
      <c r="I105" s="383" t="s">
        <v>111</v>
      </c>
    </row>
    <row r="106" spans="2:31">
      <c r="B106" s="380" t="s">
        <v>112</v>
      </c>
      <c r="C106" s="381"/>
      <c r="D106" s="381"/>
      <c r="E106" s="382" t="s">
        <v>113</v>
      </c>
      <c r="F106" s="382"/>
      <c r="H106" s="380"/>
      <c r="I106" s="383" t="s">
        <v>114</v>
      </c>
      <c r="J106" s="384"/>
      <c r="T106" s="125" t="s">
        <v>409</v>
      </c>
    </row>
    <row r="108" spans="2:31">
      <c r="S108" s="125" t="s">
        <v>410</v>
      </c>
    </row>
    <row r="109" spans="2:31">
      <c r="S109" s="113" t="s">
        <v>411</v>
      </c>
      <c r="T109" s="113" t="s">
        <v>412</v>
      </c>
      <c r="U109" s="113" t="s">
        <v>413</v>
      </c>
      <c r="V109" s="113" t="s">
        <v>414</v>
      </c>
      <c r="W109" s="113" t="s">
        <v>415</v>
      </c>
      <c r="X109" s="113" t="s">
        <v>416</v>
      </c>
      <c r="Y109" s="113" t="s">
        <v>417</v>
      </c>
      <c r="Z109" s="113" t="s">
        <v>418</v>
      </c>
      <c r="AA109" s="113" t="s">
        <v>419</v>
      </c>
      <c r="AB109" s="113" t="s">
        <v>420</v>
      </c>
      <c r="AC109" s="113" t="s">
        <v>421</v>
      </c>
      <c r="AD109" s="113" t="s">
        <v>422</v>
      </c>
      <c r="AE109" s="113" t="s">
        <v>423</v>
      </c>
    </row>
    <row r="110" spans="2:31">
      <c r="Q110" s="228" t="s">
        <v>389</v>
      </c>
      <c r="R110" s="113" t="s">
        <v>312</v>
      </c>
      <c r="S110" s="115">
        <f t="shared" ref="S110:AE110" si="47">S12</f>
        <v>3235033.4480858669</v>
      </c>
      <c r="T110" s="115">
        <f t="shared" si="47"/>
        <v>3305306.2756388159</v>
      </c>
      <c r="U110" s="115">
        <f t="shared" si="47"/>
        <v>3091163.14369372</v>
      </c>
      <c r="V110" s="115">
        <f t="shared" si="47"/>
        <v>3206164.7507812968</v>
      </c>
      <c r="W110" s="115">
        <f t="shared" si="47"/>
        <v>3171707.0113880965</v>
      </c>
      <c r="X110" s="115">
        <f t="shared" si="47"/>
        <v>2882899.7990458081</v>
      </c>
      <c r="Y110" s="115">
        <f t="shared" si="47"/>
        <v>3373210.2507932005</v>
      </c>
      <c r="Z110" s="115">
        <f t="shared" si="47"/>
        <v>2946409.6141087362</v>
      </c>
      <c r="AA110" s="115">
        <f t="shared" si="47"/>
        <v>2915425.2108000335</v>
      </c>
      <c r="AB110" s="115">
        <f t="shared" si="47"/>
        <v>3165395.0801166045</v>
      </c>
      <c r="AC110" s="115">
        <f t="shared" si="47"/>
        <v>2954832.2907445543</v>
      </c>
      <c r="AD110" s="115">
        <f t="shared" si="47"/>
        <v>4716959.0148032596</v>
      </c>
      <c r="AE110" s="115">
        <f t="shared" si="47"/>
        <v>38964505.889999993</v>
      </c>
    </row>
    <row r="111" spans="2:31">
      <c r="R111" s="252" t="s">
        <v>390</v>
      </c>
      <c r="S111" s="115">
        <f t="shared" ref="S111:AE111" si="48">(S110/S79)*100</f>
        <v>27.753809610108217</v>
      </c>
      <c r="T111" s="115">
        <f t="shared" si="48"/>
        <v>27.771492281689497</v>
      </c>
      <c r="U111" s="115">
        <f t="shared" si="48"/>
        <v>27.715178262715234</v>
      </c>
      <c r="V111" s="115">
        <f t="shared" si="48"/>
        <v>27.746327573914598</v>
      </c>
      <c r="W111" s="115">
        <f t="shared" si="48"/>
        <v>27.737224134542039</v>
      </c>
      <c r="X111" s="115">
        <f t="shared" si="48"/>
        <v>27.652654517793213</v>
      </c>
      <c r="Y111" s="115">
        <f t="shared" si="48"/>
        <v>27.787899090741629</v>
      </c>
      <c r="Z111" s="115">
        <f t="shared" si="48"/>
        <v>27.672627113475045</v>
      </c>
      <c r="AA111" s="115">
        <f t="shared" si="48"/>
        <v>27.662988230525581</v>
      </c>
      <c r="AB111" s="115">
        <f t="shared" si="48"/>
        <v>27.735535755526858</v>
      </c>
      <c r="AC111" s="115">
        <f t="shared" si="48"/>
        <v>27.67521350729325</v>
      </c>
      <c r="AD111" s="115">
        <f t="shared" si="48"/>
        <v>28.017421745581096</v>
      </c>
      <c r="AE111" s="114">
        <f t="shared" si="48"/>
        <v>27.756883951285754</v>
      </c>
    </row>
    <row r="113" spans="12:31">
      <c r="T113" s="125" t="s">
        <v>424</v>
      </c>
    </row>
    <row r="114" spans="12:31">
      <c r="S114" s="113" t="s">
        <v>411</v>
      </c>
      <c r="T114" s="113" t="s">
        <v>412</v>
      </c>
      <c r="U114" s="113" t="s">
        <v>413</v>
      </c>
      <c r="V114" s="113" t="s">
        <v>414</v>
      </c>
      <c r="W114" s="113" t="s">
        <v>415</v>
      </c>
      <c r="X114" s="113" t="s">
        <v>416</v>
      </c>
      <c r="Y114" s="113" t="s">
        <v>417</v>
      </c>
      <c r="Z114" s="113" t="s">
        <v>418</v>
      </c>
      <c r="AA114" s="113" t="s">
        <v>419</v>
      </c>
      <c r="AB114" s="113" t="s">
        <v>420</v>
      </c>
      <c r="AC114" s="113" t="s">
        <v>421</v>
      </c>
      <c r="AD114" s="113" t="s">
        <v>422</v>
      </c>
      <c r="AE114" s="113" t="s">
        <v>423</v>
      </c>
    </row>
    <row r="115" spans="12:31">
      <c r="L115" s="63"/>
      <c r="Q115" s="113" t="s">
        <v>148</v>
      </c>
      <c r="R115" s="113" t="s">
        <v>298</v>
      </c>
      <c r="S115" s="199">
        <f>S12</f>
        <v>3235033.4480858669</v>
      </c>
      <c r="T115" s="199">
        <f t="shared" ref="T115:AD115" si="49">T12</f>
        <v>3305306.2756388159</v>
      </c>
      <c r="U115" s="199">
        <f t="shared" si="49"/>
        <v>3091163.14369372</v>
      </c>
      <c r="V115" s="199">
        <f t="shared" si="49"/>
        <v>3206164.7507812968</v>
      </c>
      <c r="W115" s="199">
        <f t="shared" si="49"/>
        <v>3171707.0113880965</v>
      </c>
      <c r="X115" s="199">
        <f t="shared" si="49"/>
        <v>2882899.7990458081</v>
      </c>
      <c r="Y115" s="199">
        <f t="shared" si="49"/>
        <v>3373210.2507932005</v>
      </c>
      <c r="Z115" s="199">
        <f t="shared" si="49"/>
        <v>2946409.6141087362</v>
      </c>
      <c r="AA115" s="199">
        <f t="shared" si="49"/>
        <v>2915425.2108000335</v>
      </c>
      <c r="AB115" s="199">
        <f t="shared" si="49"/>
        <v>3165395.0801166045</v>
      </c>
      <c r="AC115" s="199">
        <f t="shared" si="49"/>
        <v>2954832.2907445543</v>
      </c>
      <c r="AD115" s="199">
        <f t="shared" si="49"/>
        <v>4716959.0148032596</v>
      </c>
      <c r="AE115" s="199">
        <f>SUM(S115:AD115)</f>
        <v>38964505.889999993</v>
      </c>
    </row>
    <row r="116" spans="12:31">
      <c r="L116" s="63"/>
    </row>
    <row r="117" spans="12:31">
      <c r="L117" s="63"/>
    </row>
    <row r="118" spans="12:31">
      <c r="L118" s="64"/>
      <c r="R118" s="228" t="s">
        <v>405</v>
      </c>
      <c r="S118" s="113" t="s">
        <v>411</v>
      </c>
      <c r="T118" s="113" t="s">
        <v>412</v>
      </c>
      <c r="U118" s="113" t="s">
        <v>413</v>
      </c>
      <c r="V118" s="113" t="s">
        <v>414</v>
      </c>
      <c r="W118" s="113" t="s">
        <v>415</v>
      </c>
      <c r="X118" s="113" t="s">
        <v>416</v>
      </c>
      <c r="Y118" s="113" t="s">
        <v>417</v>
      </c>
      <c r="Z118" s="113" t="s">
        <v>418</v>
      </c>
      <c r="AA118" s="113" t="s">
        <v>419</v>
      </c>
      <c r="AB118" s="113" t="s">
        <v>420</v>
      </c>
      <c r="AC118" s="113" t="s">
        <v>421</v>
      </c>
      <c r="AD118" s="113" t="s">
        <v>422</v>
      </c>
      <c r="AE118" s="113" t="s">
        <v>423</v>
      </c>
    </row>
    <row r="119" spans="12:31">
      <c r="L119" s="63"/>
      <c r="Q119" s="113">
        <v>9</v>
      </c>
      <c r="R119" s="113" t="s">
        <v>160</v>
      </c>
      <c r="S119" s="115">
        <f t="shared" ref="S119:AD119" si="50">S32</f>
        <v>2501144.19</v>
      </c>
      <c r="T119" s="115">
        <f t="shared" si="50"/>
        <v>2645212.89</v>
      </c>
      <c r="U119" s="115">
        <f t="shared" si="50"/>
        <v>2707776.74</v>
      </c>
      <c r="V119" s="115">
        <f t="shared" si="50"/>
        <v>2760789.37</v>
      </c>
      <c r="W119" s="115">
        <f t="shared" si="50"/>
        <v>2538135.12</v>
      </c>
      <c r="X119" s="115">
        <f t="shared" si="50"/>
        <v>2596091.34</v>
      </c>
      <c r="Y119" s="115">
        <f t="shared" si="50"/>
        <v>0</v>
      </c>
      <c r="Z119" s="115">
        <f t="shared" si="50"/>
        <v>0</v>
      </c>
      <c r="AA119" s="115">
        <f t="shared" si="50"/>
        <v>0</v>
      </c>
      <c r="AB119" s="115">
        <f t="shared" si="50"/>
        <v>0</v>
      </c>
      <c r="AC119" s="115">
        <f t="shared" si="50"/>
        <v>0</v>
      </c>
      <c r="AD119" s="115">
        <f t="shared" si="50"/>
        <v>0</v>
      </c>
      <c r="AE119" s="199">
        <f>SUM(S119:AD119)</f>
        <v>15749149.650000002</v>
      </c>
    </row>
    <row r="120" spans="12:31">
      <c r="Q120" s="228" t="s">
        <v>402</v>
      </c>
      <c r="R120" s="252" t="s">
        <v>390</v>
      </c>
      <c r="S120" s="115">
        <f t="shared" ref="S120:AE120" si="51">(S119/S87)*100</f>
        <v>26.321655387701771</v>
      </c>
      <c r="T120" s="115">
        <f t="shared" si="51"/>
        <v>26.800439525876961</v>
      </c>
      <c r="U120" s="115">
        <f t="shared" si="51"/>
        <v>23.147785517574807</v>
      </c>
      <c r="V120" s="115">
        <f t="shared" si="51"/>
        <v>28.184696213745138</v>
      </c>
      <c r="W120" s="115">
        <f t="shared" si="51"/>
        <v>22.775126514117574</v>
      </c>
      <c r="X120" s="115">
        <f t="shared" si="51"/>
        <v>24.696404937924935</v>
      </c>
      <c r="Y120" s="115" t="e">
        <f t="shared" si="51"/>
        <v>#DIV/0!</v>
      </c>
      <c r="Z120" s="115" t="e">
        <f t="shared" si="51"/>
        <v>#DIV/0!</v>
      </c>
      <c r="AA120" s="115" t="e">
        <f t="shared" si="51"/>
        <v>#DIV/0!</v>
      </c>
      <c r="AB120" s="115" t="e">
        <f t="shared" si="51"/>
        <v>#DIV/0!</v>
      </c>
      <c r="AC120" s="115" t="e">
        <f t="shared" si="51"/>
        <v>#DIV/0!</v>
      </c>
      <c r="AD120" s="115" t="e">
        <f t="shared" si="51"/>
        <v>#DIV/0!</v>
      </c>
      <c r="AE120" s="114">
        <f t="shared" si="51"/>
        <v>25.189875866064675</v>
      </c>
    </row>
    <row r="121" spans="12:31">
      <c r="L121" s="63"/>
      <c r="R121" s="275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</row>
    <row r="122" spans="12:31" ht="12.75" customHeight="1">
      <c r="L122" s="63"/>
      <c r="Q122" s="799" t="s">
        <v>425</v>
      </c>
      <c r="R122" s="800"/>
      <c r="S122" s="239">
        <f t="shared" ref="S122:AE122" si="52">S119/$AE$119</f>
        <v>0.15881138001631723</v>
      </c>
      <c r="T122" s="239">
        <f t="shared" si="52"/>
        <v>0.16795909295331382</v>
      </c>
      <c r="U122" s="239">
        <f t="shared" si="52"/>
        <v>0.17193161536819862</v>
      </c>
      <c r="V122" s="239">
        <f t="shared" si="52"/>
        <v>0.17529767837338442</v>
      </c>
      <c r="W122" s="239">
        <f t="shared" si="52"/>
        <v>0.16116013730303208</v>
      </c>
      <c r="X122" s="239">
        <f t="shared" si="52"/>
        <v>0.16484009598575372</v>
      </c>
      <c r="Y122" s="239">
        <f t="shared" si="52"/>
        <v>0</v>
      </c>
      <c r="Z122" s="239">
        <f t="shared" si="52"/>
        <v>0</v>
      </c>
      <c r="AA122" s="239">
        <f t="shared" si="52"/>
        <v>0</v>
      </c>
      <c r="AB122" s="239">
        <f t="shared" si="52"/>
        <v>0</v>
      </c>
      <c r="AC122" s="239">
        <f t="shared" si="52"/>
        <v>0</v>
      </c>
      <c r="AD122" s="239">
        <f t="shared" si="52"/>
        <v>0</v>
      </c>
      <c r="AE122" s="239">
        <f t="shared" si="52"/>
        <v>1</v>
      </c>
    </row>
    <row r="123" spans="12:31">
      <c r="L123" s="63"/>
    </row>
    <row r="124" spans="12:31">
      <c r="L124" s="64"/>
    </row>
    <row r="125" spans="12:31">
      <c r="S125" s="125" t="s">
        <v>426</v>
      </c>
      <c r="AE125" s="105" t="s">
        <v>427</v>
      </c>
    </row>
    <row r="126" spans="12:31">
      <c r="Q126" s="245" t="s">
        <v>329</v>
      </c>
      <c r="R126" s="246"/>
      <c r="S126" s="239" t="s">
        <v>330</v>
      </c>
      <c r="T126" s="247">
        <f>S119+T119</f>
        <v>5146357.08</v>
      </c>
      <c r="U126" s="239" t="s">
        <v>331</v>
      </c>
      <c r="V126" s="248">
        <f>U119+V119</f>
        <v>5468566.1100000003</v>
      </c>
      <c r="W126" s="239" t="s">
        <v>332</v>
      </c>
      <c r="X126" s="248">
        <f>W119+X119</f>
        <v>5134226.46</v>
      </c>
      <c r="Y126" s="239" t="s">
        <v>333</v>
      </c>
      <c r="Z126" s="248">
        <f>Y119+Z119</f>
        <v>0</v>
      </c>
      <c r="AA126" s="239" t="s">
        <v>334</v>
      </c>
      <c r="AB126" s="248">
        <f>AA119+AB119</f>
        <v>0</v>
      </c>
      <c r="AC126" s="239" t="s">
        <v>335</v>
      </c>
      <c r="AD126" s="248">
        <f>AC119+AD119</f>
        <v>0</v>
      </c>
      <c r="AE126" s="48">
        <f>SUM(S126:AD126)</f>
        <v>15749149.650000002</v>
      </c>
    </row>
    <row r="130" spans="18:28">
      <c r="S130" s="380" t="s">
        <v>109</v>
      </c>
      <c r="T130" s="381"/>
      <c r="U130" s="381"/>
      <c r="V130" s="382" t="s">
        <v>110</v>
      </c>
      <c r="W130" s="382"/>
      <c r="Y130" s="380"/>
      <c r="Z130" s="383" t="s">
        <v>111</v>
      </c>
      <c r="AA130" s="386"/>
    </row>
    <row r="131" spans="18:28">
      <c r="R131" s="384"/>
      <c r="S131" s="380" t="s">
        <v>112</v>
      </c>
      <c r="T131" s="381"/>
      <c r="U131" s="381"/>
      <c r="V131" s="382" t="s">
        <v>113</v>
      </c>
      <c r="W131" s="382"/>
      <c r="Y131" s="380"/>
      <c r="Z131" s="383" t="s">
        <v>114</v>
      </c>
      <c r="AA131" s="386"/>
      <c r="AB131" s="384"/>
    </row>
    <row r="132" spans="18:28">
      <c r="R132" s="386"/>
      <c r="S132" s="386"/>
      <c r="T132" s="386"/>
      <c r="U132" s="386"/>
      <c r="V132" s="386"/>
      <c r="W132" s="386"/>
      <c r="X132" s="386"/>
      <c r="Y132" s="386"/>
      <c r="Z132" s="386"/>
      <c r="AA132" s="386"/>
      <c r="AB132" s="386"/>
    </row>
    <row r="133" spans="18:28">
      <c r="R133" s="386"/>
      <c r="AB133" s="386"/>
    </row>
  </sheetData>
  <mergeCells count="9">
    <mergeCell ref="A35:B35"/>
    <mergeCell ref="Q122:R122"/>
    <mergeCell ref="B3:K3"/>
    <mergeCell ref="L3:M3"/>
    <mergeCell ref="N3:O3"/>
    <mergeCell ref="A18:B18"/>
    <mergeCell ref="B20:K20"/>
    <mergeCell ref="L20:M20"/>
    <mergeCell ref="N20:O20"/>
  </mergeCells>
  <pageMargins left="0.23622047244094491" right="0.23622047244094491" top="0.74803149606299213" bottom="0.19685039370078741" header="0.31496062992125984" footer="0.31496062992125984"/>
  <pageSetup paperSize="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U84"/>
  <sheetViews>
    <sheetView workbookViewId="0">
      <selection activeCell="H38" sqref="H38"/>
    </sheetView>
  </sheetViews>
  <sheetFormatPr defaultRowHeight="12.75"/>
  <cols>
    <col min="1" max="1" width="2.7109375" style="67" bestFit="1" customWidth="1"/>
    <col min="2" max="3" width="9.140625" style="67"/>
    <col min="4" max="4" width="10" style="67" customWidth="1"/>
    <col min="5" max="5" width="13" style="67" customWidth="1"/>
    <col min="6" max="6" width="13.85546875" style="67" customWidth="1"/>
    <col min="7" max="7" width="13.28515625" style="67" bestFit="1" customWidth="1"/>
    <col min="8" max="8" width="14.28515625" style="67" customWidth="1"/>
    <col min="9" max="9" width="14.7109375" style="67" customWidth="1"/>
    <col min="10" max="10" width="13.42578125" style="67" customWidth="1"/>
    <col min="11" max="11" width="12.85546875" style="67" bestFit="1" customWidth="1"/>
    <col min="12" max="12" width="9.28515625" style="67" bestFit="1" customWidth="1"/>
    <col min="13" max="13" width="11.85546875" style="67" bestFit="1" customWidth="1"/>
    <col min="14" max="14" width="2.7109375" style="67" bestFit="1" customWidth="1"/>
    <col min="15" max="15" width="40.7109375" style="67" bestFit="1" customWidth="1"/>
    <col min="16" max="16" width="12.5703125" style="67" customWidth="1"/>
    <col min="17" max="17" width="7" style="67" bestFit="1" customWidth="1"/>
    <col min="18" max="18" width="11.7109375" style="67" bestFit="1" customWidth="1"/>
    <col min="19" max="19" width="12.85546875" style="67" bestFit="1" customWidth="1"/>
    <col min="20" max="20" width="11.5703125" style="67" bestFit="1" customWidth="1"/>
    <col min="21" max="21" width="12.5703125" style="67" bestFit="1" customWidth="1"/>
    <col min="22" max="256" width="9.140625" style="67"/>
    <col min="257" max="257" width="2.7109375" style="67" bestFit="1" customWidth="1"/>
    <col min="258" max="259" width="9.140625" style="67"/>
    <col min="260" max="260" width="10" style="67" customWidth="1"/>
    <col min="261" max="261" width="13" style="67" customWidth="1"/>
    <col min="262" max="262" width="13.85546875" style="67" customWidth="1"/>
    <col min="263" max="263" width="13.28515625" style="67" bestFit="1" customWidth="1"/>
    <col min="264" max="264" width="15.140625" style="67" customWidth="1"/>
    <col min="265" max="265" width="14.7109375" style="67" customWidth="1"/>
    <col min="266" max="266" width="13.42578125" style="67" customWidth="1"/>
    <col min="267" max="267" width="12.85546875" style="67" bestFit="1" customWidth="1"/>
    <col min="268" max="268" width="9.28515625" style="67" bestFit="1" customWidth="1"/>
    <col min="269" max="269" width="11.85546875" style="67" bestFit="1" customWidth="1"/>
    <col min="270" max="270" width="2.7109375" style="67" bestFit="1" customWidth="1"/>
    <col min="271" max="271" width="40.7109375" style="67" bestFit="1" customWidth="1"/>
    <col min="272" max="272" width="12.5703125" style="67" customWidth="1"/>
    <col min="273" max="273" width="7" style="67" bestFit="1" customWidth="1"/>
    <col min="274" max="274" width="11.7109375" style="67" bestFit="1" customWidth="1"/>
    <col min="275" max="275" width="12.85546875" style="67" bestFit="1" customWidth="1"/>
    <col min="276" max="276" width="11.5703125" style="67" bestFit="1" customWidth="1"/>
    <col min="277" max="277" width="12.5703125" style="67" bestFit="1" customWidth="1"/>
    <col min="278" max="512" width="9.140625" style="67"/>
    <col min="513" max="513" width="2.7109375" style="67" bestFit="1" customWidth="1"/>
    <col min="514" max="515" width="9.140625" style="67"/>
    <col min="516" max="516" width="10" style="67" customWidth="1"/>
    <col min="517" max="517" width="13" style="67" customWidth="1"/>
    <col min="518" max="518" width="13.85546875" style="67" customWidth="1"/>
    <col min="519" max="519" width="13.28515625" style="67" bestFit="1" customWidth="1"/>
    <col min="520" max="520" width="15.140625" style="67" customWidth="1"/>
    <col min="521" max="521" width="14.7109375" style="67" customWidth="1"/>
    <col min="522" max="522" width="13.42578125" style="67" customWidth="1"/>
    <col min="523" max="523" width="12.85546875" style="67" bestFit="1" customWidth="1"/>
    <col min="524" max="524" width="9.28515625" style="67" bestFit="1" customWidth="1"/>
    <col min="525" max="525" width="11.85546875" style="67" bestFit="1" customWidth="1"/>
    <col min="526" max="526" width="2.7109375" style="67" bestFit="1" customWidth="1"/>
    <col min="527" max="527" width="40.7109375" style="67" bestFit="1" customWidth="1"/>
    <col min="528" max="528" width="12.5703125" style="67" customWidth="1"/>
    <col min="529" max="529" width="7" style="67" bestFit="1" customWidth="1"/>
    <col min="530" max="530" width="11.7109375" style="67" bestFit="1" customWidth="1"/>
    <col min="531" max="531" width="12.85546875" style="67" bestFit="1" customWidth="1"/>
    <col min="532" max="532" width="11.5703125" style="67" bestFit="1" customWidth="1"/>
    <col min="533" max="533" width="12.5703125" style="67" bestFit="1" customWidth="1"/>
    <col min="534" max="768" width="9.140625" style="67"/>
    <col min="769" max="769" width="2.7109375" style="67" bestFit="1" customWidth="1"/>
    <col min="770" max="771" width="9.140625" style="67"/>
    <col min="772" max="772" width="10" style="67" customWidth="1"/>
    <col min="773" max="773" width="13" style="67" customWidth="1"/>
    <col min="774" max="774" width="13.85546875" style="67" customWidth="1"/>
    <col min="775" max="775" width="13.28515625" style="67" bestFit="1" customWidth="1"/>
    <col min="776" max="776" width="15.140625" style="67" customWidth="1"/>
    <col min="777" max="777" width="14.7109375" style="67" customWidth="1"/>
    <col min="778" max="778" width="13.42578125" style="67" customWidth="1"/>
    <col min="779" max="779" width="12.85546875" style="67" bestFit="1" customWidth="1"/>
    <col min="780" max="780" width="9.28515625" style="67" bestFit="1" customWidth="1"/>
    <col min="781" max="781" width="11.85546875" style="67" bestFit="1" customWidth="1"/>
    <col min="782" max="782" width="2.7109375" style="67" bestFit="1" customWidth="1"/>
    <col min="783" max="783" width="40.7109375" style="67" bestFit="1" customWidth="1"/>
    <col min="784" max="784" width="12.5703125" style="67" customWidth="1"/>
    <col min="785" max="785" width="7" style="67" bestFit="1" customWidth="1"/>
    <col min="786" max="786" width="11.7109375" style="67" bestFit="1" customWidth="1"/>
    <col min="787" max="787" width="12.85546875" style="67" bestFit="1" customWidth="1"/>
    <col min="788" max="788" width="11.5703125" style="67" bestFit="1" customWidth="1"/>
    <col min="789" max="789" width="12.5703125" style="67" bestFit="1" customWidth="1"/>
    <col min="790" max="1024" width="9.140625" style="67"/>
    <col min="1025" max="1025" width="2.7109375" style="67" bestFit="1" customWidth="1"/>
    <col min="1026" max="1027" width="9.140625" style="67"/>
    <col min="1028" max="1028" width="10" style="67" customWidth="1"/>
    <col min="1029" max="1029" width="13" style="67" customWidth="1"/>
    <col min="1030" max="1030" width="13.85546875" style="67" customWidth="1"/>
    <col min="1031" max="1031" width="13.28515625" style="67" bestFit="1" customWidth="1"/>
    <col min="1032" max="1032" width="15.140625" style="67" customWidth="1"/>
    <col min="1033" max="1033" width="14.7109375" style="67" customWidth="1"/>
    <col min="1034" max="1034" width="13.42578125" style="67" customWidth="1"/>
    <col min="1035" max="1035" width="12.85546875" style="67" bestFit="1" customWidth="1"/>
    <col min="1036" max="1036" width="9.28515625" style="67" bestFit="1" customWidth="1"/>
    <col min="1037" max="1037" width="11.85546875" style="67" bestFit="1" customWidth="1"/>
    <col min="1038" max="1038" width="2.7109375" style="67" bestFit="1" customWidth="1"/>
    <col min="1039" max="1039" width="40.7109375" style="67" bestFit="1" customWidth="1"/>
    <col min="1040" max="1040" width="12.5703125" style="67" customWidth="1"/>
    <col min="1041" max="1041" width="7" style="67" bestFit="1" customWidth="1"/>
    <col min="1042" max="1042" width="11.7109375" style="67" bestFit="1" customWidth="1"/>
    <col min="1043" max="1043" width="12.85546875" style="67" bestFit="1" customWidth="1"/>
    <col min="1044" max="1044" width="11.5703125" style="67" bestFit="1" customWidth="1"/>
    <col min="1045" max="1045" width="12.5703125" style="67" bestFit="1" customWidth="1"/>
    <col min="1046" max="1280" width="9.140625" style="67"/>
    <col min="1281" max="1281" width="2.7109375" style="67" bestFit="1" customWidth="1"/>
    <col min="1282" max="1283" width="9.140625" style="67"/>
    <col min="1284" max="1284" width="10" style="67" customWidth="1"/>
    <col min="1285" max="1285" width="13" style="67" customWidth="1"/>
    <col min="1286" max="1286" width="13.85546875" style="67" customWidth="1"/>
    <col min="1287" max="1287" width="13.28515625" style="67" bestFit="1" customWidth="1"/>
    <col min="1288" max="1288" width="15.140625" style="67" customWidth="1"/>
    <col min="1289" max="1289" width="14.7109375" style="67" customWidth="1"/>
    <col min="1290" max="1290" width="13.42578125" style="67" customWidth="1"/>
    <col min="1291" max="1291" width="12.85546875" style="67" bestFit="1" customWidth="1"/>
    <col min="1292" max="1292" width="9.28515625" style="67" bestFit="1" customWidth="1"/>
    <col min="1293" max="1293" width="11.85546875" style="67" bestFit="1" customWidth="1"/>
    <col min="1294" max="1294" width="2.7109375" style="67" bestFit="1" customWidth="1"/>
    <col min="1295" max="1295" width="40.7109375" style="67" bestFit="1" customWidth="1"/>
    <col min="1296" max="1296" width="12.5703125" style="67" customWidth="1"/>
    <col min="1297" max="1297" width="7" style="67" bestFit="1" customWidth="1"/>
    <col min="1298" max="1298" width="11.7109375" style="67" bestFit="1" customWidth="1"/>
    <col min="1299" max="1299" width="12.85546875" style="67" bestFit="1" customWidth="1"/>
    <col min="1300" max="1300" width="11.5703125" style="67" bestFit="1" customWidth="1"/>
    <col min="1301" max="1301" width="12.5703125" style="67" bestFit="1" customWidth="1"/>
    <col min="1302" max="1536" width="9.140625" style="67"/>
    <col min="1537" max="1537" width="2.7109375" style="67" bestFit="1" customWidth="1"/>
    <col min="1538" max="1539" width="9.140625" style="67"/>
    <col min="1540" max="1540" width="10" style="67" customWidth="1"/>
    <col min="1541" max="1541" width="13" style="67" customWidth="1"/>
    <col min="1542" max="1542" width="13.85546875" style="67" customWidth="1"/>
    <col min="1543" max="1543" width="13.28515625" style="67" bestFit="1" customWidth="1"/>
    <col min="1544" max="1544" width="15.140625" style="67" customWidth="1"/>
    <col min="1545" max="1545" width="14.7109375" style="67" customWidth="1"/>
    <col min="1546" max="1546" width="13.42578125" style="67" customWidth="1"/>
    <col min="1547" max="1547" width="12.85546875" style="67" bestFit="1" customWidth="1"/>
    <col min="1548" max="1548" width="9.28515625" style="67" bestFit="1" customWidth="1"/>
    <col min="1549" max="1549" width="11.85546875" style="67" bestFit="1" customWidth="1"/>
    <col min="1550" max="1550" width="2.7109375" style="67" bestFit="1" customWidth="1"/>
    <col min="1551" max="1551" width="40.7109375" style="67" bestFit="1" customWidth="1"/>
    <col min="1552" max="1552" width="12.5703125" style="67" customWidth="1"/>
    <col min="1553" max="1553" width="7" style="67" bestFit="1" customWidth="1"/>
    <col min="1554" max="1554" width="11.7109375" style="67" bestFit="1" customWidth="1"/>
    <col min="1555" max="1555" width="12.85546875" style="67" bestFit="1" customWidth="1"/>
    <col min="1556" max="1556" width="11.5703125" style="67" bestFit="1" customWidth="1"/>
    <col min="1557" max="1557" width="12.5703125" style="67" bestFit="1" customWidth="1"/>
    <col min="1558" max="1792" width="9.140625" style="67"/>
    <col min="1793" max="1793" width="2.7109375" style="67" bestFit="1" customWidth="1"/>
    <col min="1794" max="1795" width="9.140625" style="67"/>
    <col min="1796" max="1796" width="10" style="67" customWidth="1"/>
    <col min="1797" max="1797" width="13" style="67" customWidth="1"/>
    <col min="1798" max="1798" width="13.85546875" style="67" customWidth="1"/>
    <col min="1799" max="1799" width="13.28515625" style="67" bestFit="1" customWidth="1"/>
    <col min="1800" max="1800" width="15.140625" style="67" customWidth="1"/>
    <col min="1801" max="1801" width="14.7109375" style="67" customWidth="1"/>
    <col min="1802" max="1802" width="13.42578125" style="67" customWidth="1"/>
    <col min="1803" max="1803" width="12.85546875" style="67" bestFit="1" customWidth="1"/>
    <col min="1804" max="1804" width="9.28515625" style="67" bestFit="1" customWidth="1"/>
    <col min="1805" max="1805" width="11.85546875" style="67" bestFit="1" customWidth="1"/>
    <col min="1806" max="1806" width="2.7109375" style="67" bestFit="1" customWidth="1"/>
    <col min="1807" max="1807" width="40.7109375" style="67" bestFit="1" customWidth="1"/>
    <col min="1808" max="1808" width="12.5703125" style="67" customWidth="1"/>
    <col min="1809" max="1809" width="7" style="67" bestFit="1" customWidth="1"/>
    <col min="1810" max="1810" width="11.7109375" style="67" bestFit="1" customWidth="1"/>
    <col min="1811" max="1811" width="12.85546875" style="67" bestFit="1" customWidth="1"/>
    <col min="1812" max="1812" width="11.5703125" style="67" bestFit="1" customWidth="1"/>
    <col min="1813" max="1813" width="12.5703125" style="67" bestFit="1" customWidth="1"/>
    <col min="1814" max="2048" width="9.140625" style="67"/>
    <col min="2049" max="2049" width="2.7109375" style="67" bestFit="1" customWidth="1"/>
    <col min="2050" max="2051" width="9.140625" style="67"/>
    <col min="2052" max="2052" width="10" style="67" customWidth="1"/>
    <col min="2053" max="2053" width="13" style="67" customWidth="1"/>
    <col min="2054" max="2054" width="13.85546875" style="67" customWidth="1"/>
    <col min="2055" max="2055" width="13.28515625" style="67" bestFit="1" customWidth="1"/>
    <col min="2056" max="2056" width="15.140625" style="67" customWidth="1"/>
    <col min="2057" max="2057" width="14.7109375" style="67" customWidth="1"/>
    <col min="2058" max="2058" width="13.42578125" style="67" customWidth="1"/>
    <col min="2059" max="2059" width="12.85546875" style="67" bestFit="1" customWidth="1"/>
    <col min="2060" max="2060" width="9.28515625" style="67" bestFit="1" customWidth="1"/>
    <col min="2061" max="2061" width="11.85546875" style="67" bestFit="1" customWidth="1"/>
    <col min="2062" max="2062" width="2.7109375" style="67" bestFit="1" customWidth="1"/>
    <col min="2063" max="2063" width="40.7109375" style="67" bestFit="1" customWidth="1"/>
    <col min="2064" max="2064" width="12.5703125" style="67" customWidth="1"/>
    <col min="2065" max="2065" width="7" style="67" bestFit="1" customWidth="1"/>
    <col min="2066" max="2066" width="11.7109375" style="67" bestFit="1" customWidth="1"/>
    <col min="2067" max="2067" width="12.85546875" style="67" bestFit="1" customWidth="1"/>
    <col min="2068" max="2068" width="11.5703125" style="67" bestFit="1" customWidth="1"/>
    <col min="2069" max="2069" width="12.5703125" style="67" bestFit="1" customWidth="1"/>
    <col min="2070" max="2304" width="9.140625" style="67"/>
    <col min="2305" max="2305" width="2.7109375" style="67" bestFit="1" customWidth="1"/>
    <col min="2306" max="2307" width="9.140625" style="67"/>
    <col min="2308" max="2308" width="10" style="67" customWidth="1"/>
    <col min="2309" max="2309" width="13" style="67" customWidth="1"/>
    <col min="2310" max="2310" width="13.85546875" style="67" customWidth="1"/>
    <col min="2311" max="2311" width="13.28515625" style="67" bestFit="1" customWidth="1"/>
    <col min="2312" max="2312" width="15.140625" style="67" customWidth="1"/>
    <col min="2313" max="2313" width="14.7109375" style="67" customWidth="1"/>
    <col min="2314" max="2314" width="13.42578125" style="67" customWidth="1"/>
    <col min="2315" max="2315" width="12.85546875" style="67" bestFit="1" customWidth="1"/>
    <col min="2316" max="2316" width="9.28515625" style="67" bestFit="1" customWidth="1"/>
    <col min="2317" max="2317" width="11.85546875" style="67" bestFit="1" customWidth="1"/>
    <col min="2318" max="2318" width="2.7109375" style="67" bestFit="1" customWidth="1"/>
    <col min="2319" max="2319" width="40.7109375" style="67" bestFit="1" customWidth="1"/>
    <col min="2320" max="2320" width="12.5703125" style="67" customWidth="1"/>
    <col min="2321" max="2321" width="7" style="67" bestFit="1" customWidth="1"/>
    <col min="2322" max="2322" width="11.7109375" style="67" bestFit="1" customWidth="1"/>
    <col min="2323" max="2323" width="12.85546875" style="67" bestFit="1" customWidth="1"/>
    <col min="2324" max="2324" width="11.5703125" style="67" bestFit="1" customWidth="1"/>
    <col min="2325" max="2325" width="12.5703125" style="67" bestFit="1" customWidth="1"/>
    <col min="2326" max="2560" width="9.140625" style="67"/>
    <col min="2561" max="2561" width="2.7109375" style="67" bestFit="1" customWidth="1"/>
    <col min="2562" max="2563" width="9.140625" style="67"/>
    <col min="2564" max="2564" width="10" style="67" customWidth="1"/>
    <col min="2565" max="2565" width="13" style="67" customWidth="1"/>
    <col min="2566" max="2566" width="13.85546875" style="67" customWidth="1"/>
    <col min="2567" max="2567" width="13.28515625" style="67" bestFit="1" customWidth="1"/>
    <col min="2568" max="2568" width="15.140625" style="67" customWidth="1"/>
    <col min="2569" max="2569" width="14.7109375" style="67" customWidth="1"/>
    <col min="2570" max="2570" width="13.42578125" style="67" customWidth="1"/>
    <col min="2571" max="2571" width="12.85546875" style="67" bestFit="1" customWidth="1"/>
    <col min="2572" max="2572" width="9.28515625" style="67" bestFit="1" customWidth="1"/>
    <col min="2573" max="2573" width="11.85546875" style="67" bestFit="1" customWidth="1"/>
    <col min="2574" max="2574" width="2.7109375" style="67" bestFit="1" customWidth="1"/>
    <col min="2575" max="2575" width="40.7109375" style="67" bestFit="1" customWidth="1"/>
    <col min="2576" max="2576" width="12.5703125" style="67" customWidth="1"/>
    <col min="2577" max="2577" width="7" style="67" bestFit="1" customWidth="1"/>
    <col min="2578" max="2578" width="11.7109375" style="67" bestFit="1" customWidth="1"/>
    <col min="2579" max="2579" width="12.85546875" style="67" bestFit="1" customWidth="1"/>
    <col min="2580" max="2580" width="11.5703125" style="67" bestFit="1" customWidth="1"/>
    <col min="2581" max="2581" width="12.5703125" style="67" bestFit="1" customWidth="1"/>
    <col min="2582" max="2816" width="9.140625" style="67"/>
    <col min="2817" max="2817" width="2.7109375" style="67" bestFit="1" customWidth="1"/>
    <col min="2818" max="2819" width="9.140625" style="67"/>
    <col min="2820" max="2820" width="10" style="67" customWidth="1"/>
    <col min="2821" max="2821" width="13" style="67" customWidth="1"/>
    <col min="2822" max="2822" width="13.85546875" style="67" customWidth="1"/>
    <col min="2823" max="2823" width="13.28515625" style="67" bestFit="1" customWidth="1"/>
    <col min="2824" max="2824" width="15.140625" style="67" customWidth="1"/>
    <col min="2825" max="2825" width="14.7109375" style="67" customWidth="1"/>
    <col min="2826" max="2826" width="13.42578125" style="67" customWidth="1"/>
    <col min="2827" max="2827" width="12.85546875" style="67" bestFit="1" customWidth="1"/>
    <col min="2828" max="2828" width="9.28515625" style="67" bestFit="1" customWidth="1"/>
    <col min="2829" max="2829" width="11.85546875" style="67" bestFit="1" customWidth="1"/>
    <col min="2830" max="2830" width="2.7109375" style="67" bestFit="1" customWidth="1"/>
    <col min="2831" max="2831" width="40.7109375" style="67" bestFit="1" customWidth="1"/>
    <col min="2832" max="2832" width="12.5703125" style="67" customWidth="1"/>
    <col min="2833" max="2833" width="7" style="67" bestFit="1" customWidth="1"/>
    <col min="2834" max="2834" width="11.7109375" style="67" bestFit="1" customWidth="1"/>
    <col min="2835" max="2835" width="12.85546875" style="67" bestFit="1" customWidth="1"/>
    <col min="2836" max="2836" width="11.5703125" style="67" bestFit="1" customWidth="1"/>
    <col min="2837" max="2837" width="12.5703125" style="67" bestFit="1" customWidth="1"/>
    <col min="2838" max="3072" width="9.140625" style="67"/>
    <col min="3073" max="3073" width="2.7109375" style="67" bestFit="1" customWidth="1"/>
    <col min="3074" max="3075" width="9.140625" style="67"/>
    <col min="3076" max="3076" width="10" style="67" customWidth="1"/>
    <col min="3077" max="3077" width="13" style="67" customWidth="1"/>
    <col min="3078" max="3078" width="13.85546875" style="67" customWidth="1"/>
    <col min="3079" max="3079" width="13.28515625" style="67" bestFit="1" customWidth="1"/>
    <col min="3080" max="3080" width="15.140625" style="67" customWidth="1"/>
    <col min="3081" max="3081" width="14.7109375" style="67" customWidth="1"/>
    <col min="3082" max="3082" width="13.42578125" style="67" customWidth="1"/>
    <col min="3083" max="3083" width="12.85546875" style="67" bestFit="1" customWidth="1"/>
    <col min="3084" max="3084" width="9.28515625" style="67" bestFit="1" customWidth="1"/>
    <col min="3085" max="3085" width="11.85546875" style="67" bestFit="1" customWidth="1"/>
    <col min="3086" max="3086" width="2.7109375" style="67" bestFit="1" customWidth="1"/>
    <col min="3087" max="3087" width="40.7109375" style="67" bestFit="1" customWidth="1"/>
    <col min="3088" max="3088" width="12.5703125" style="67" customWidth="1"/>
    <col min="3089" max="3089" width="7" style="67" bestFit="1" customWidth="1"/>
    <col min="3090" max="3090" width="11.7109375" style="67" bestFit="1" customWidth="1"/>
    <col min="3091" max="3091" width="12.85546875" style="67" bestFit="1" customWidth="1"/>
    <col min="3092" max="3092" width="11.5703125" style="67" bestFit="1" customWidth="1"/>
    <col min="3093" max="3093" width="12.5703125" style="67" bestFit="1" customWidth="1"/>
    <col min="3094" max="3328" width="9.140625" style="67"/>
    <col min="3329" max="3329" width="2.7109375" style="67" bestFit="1" customWidth="1"/>
    <col min="3330" max="3331" width="9.140625" style="67"/>
    <col min="3332" max="3332" width="10" style="67" customWidth="1"/>
    <col min="3333" max="3333" width="13" style="67" customWidth="1"/>
    <col min="3334" max="3334" width="13.85546875" style="67" customWidth="1"/>
    <col min="3335" max="3335" width="13.28515625" style="67" bestFit="1" customWidth="1"/>
    <col min="3336" max="3336" width="15.140625" style="67" customWidth="1"/>
    <col min="3337" max="3337" width="14.7109375" style="67" customWidth="1"/>
    <col min="3338" max="3338" width="13.42578125" style="67" customWidth="1"/>
    <col min="3339" max="3339" width="12.85546875" style="67" bestFit="1" customWidth="1"/>
    <col min="3340" max="3340" width="9.28515625" style="67" bestFit="1" customWidth="1"/>
    <col min="3341" max="3341" width="11.85546875" style="67" bestFit="1" customWidth="1"/>
    <col min="3342" max="3342" width="2.7109375" style="67" bestFit="1" customWidth="1"/>
    <col min="3343" max="3343" width="40.7109375" style="67" bestFit="1" customWidth="1"/>
    <col min="3344" max="3344" width="12.5703125" style="67" customWidth="1"/>
    <col min="3345" max="3345" width="7" style="67" bestFit="1" customWidth="1"/>
    <col min="3346" max="3346" width="11.7109375" style="67" bestFit="1" customWidth="1"/>
    <col min="3347" max="3347" width="12.85546875" style="67" bestFit="1" customWidth="1"/>
    <col min="3348" max="3348" width="11.5703125" style="67" bestFit="1" customWidth="1"/>
    <col min="3349" max="3349" width="12.5703125" style="67" bestFit="1" customWidth="1"/>
    <col min="3350" max="3584" width="9.140625" style="67"/>
    <col min="3585" max="3585" width="2.7109375" style="67" bestFit="1" customWidth="1"/>
    <col min="3586" max="3587" width="9.140625" style="67"/>
    <col min="3588" max="3588" width="10" style="67" customWidth="1"/>
    <col min="3589" max="3589" width="13" style="67" customWidth="1"/>
    <col min="3590" max="3590" width="13.85546875" style="67" customWidth="1"/>
    <col min="3591" max="3591" width="13.28515625" style="67" bestFit="1" customWidth="1"/>
    <col min="3592" max="3592" width="15.140625" style="67" customWidth="1"/>
    <col min="3593" max="3593" width="14.7109375" style="67" customWidth="1"/>
    <col min="3594" max="3594" width="13.42578125" style="67" customWidth="1"/>
    <col min="3595" max="3595" width="12.85546875" style="67" bestFit="1" customWidth="1"/>
    <col min="3596" max="3596" width="9.28515625" style="67" bestFit="1" customWidth="1"/>
    <col min="3597" max="3597" width="11.85546875" style="67" bestFit="1" customWidth="1"/>
    <col min="3598" max="3598" width="2.7109375" style="67" bestFit="1" customWidth="1"/>
    <col min="3599" max="3599" width="40.7109375" style="67" bestFit="1" customWidth="1"/>
    <col min="3600" max="3600" width="12.5703125" style="67" customWidth="1"/>
    <col min="3601" max="3601" width="7" style="67" bestFit="1" customWidth="1"/>
    <col min="3602" max="3602" width="11.7109375" style="67" bestFit="1" customWidth="1"/>
    <col min="3603" max="3603" width="12.85546875" style="67" bestFit="1" customWidth="1"/>
    <col min="3604" max="3604" width="11.5703125" style="67" bestFit="1" customWidth="1"/>
    <col min="3605" max="3605" width="12.5703125" style="67" bestFit="1" customWidth="1"/>
    <col min="3606" max="3840" width="9.140625" style="67"/>
    <col min="3841" max="3841" width="2.7109375" style="67" bestFit="1" customWidth="1"/>
    <col min="3842" max="3843" width="9.140625" style="67"/>
    <col min="3844" max="3844" width="10" style="67" customWidth="1"/>
    <col min="3845" max="3845" width="13" style="67" customWidth="1"/>
    <col min="3846" max="3846" width="13.85546875" style="67" customWidth="1"/>
    <col min="3847" max="3847" width="13.28515625" style="67" bestFit="1" customWidth="1"/>
    <col min="3848" max="3848" width="15.140625" style="67" customWidth="1"/>
    <col min="3849" max="3849" width="14.7109375" style="67" customWidth="1"/>
    <col min="3850" max="3850" width="13.42578125" style="67" customWidth="1"/>
    <col min="3851" max="3851" width="12.85546875" style="67" bestFit="1" customWidth="1"/>
    <col min="3852" max="3852" width="9.28515625" style="67" bestFit="1" customWidth="1"/>
    <col min="3853" max="3853" width="11.85546875" style="67" bestFit="1" customWidth="1"/>
    <col min="3854" max="3854" width="2.7109375" style="67" bestFit="1" customWidth="1"/>
    <col min="3855" max="3855" width="40.7109375" style="67" bestFit="1" customWidth="1"/>
    <col min="3856" max="3856" width="12.5703125" style="67" customWidth="1"/>
    <col min="3857" max="3857" width="7" style="67" bestFit="1" customWidth="1"/>
    <col min="3858" max="3858" width="11.7109375" style="67" bestFit="1" customWidth="1"/>
    <col min="3859" max="3859" width="12.85546875" style="67" bestFit="1" customWidth="1"/>
    <col min="3860" max="3860" width="11.5703125" style="67" bestFit="1" customWidth="1"/>
    <col min="3861" max="3861" width="12.5703125" style="67" bestFit="1" customWidth="1"/>
    <col min="3862" max="4096" width="9.140625" style="67"/>
    <col min="4097" max="4097" width="2.7109375" style="67" bestFit="1" customWidth="1"/>
    <col min="4098" max="4099" width="9.140625" style="67"/>
    <col min="4100" max="4100" width="10" style="67" customWidth="1"/>
    <col min="4101" max="4101" width="13" style="67" customWidth="1"/>
    <col min="4102" max="4102" width="13.85546875" style="67" customWidth="1"/>
    <col min="4103" max="4103" width="13.28515625" style="67" bestFit="1" customWidth="1"/>
    <col min="4104" max="4104" width="15.140625" style="67" customWidth="1"/>
    <col min="4105" max="4105" width="14.7109375" style="67" customWidth="1"/>
    <col min="4106" max="4106" width="13.42578125" style="67" customWidth="1"/>
    <col min="4107" max="4107" width="12.85546875" style="67" bestFit="1" customWidth="1"/>
    <col min="4108" max="4108" width="9.28515625" style="67" bestFit="1" customWidth="1"/>
    <col min="4109" max="4109" width="11.85546875" style="67" bestFit="1" customWidth="1"/>
    <col min="4110" max="4110" width="2.7109375" style="67" bestFit="1" customWidth="1"/>
    <col min="4111" max="4111" width="40.7109375" style="67" bestFit="1" customWidth="1"/>
    <col min="4112" max="4112" width="12.5703125" style="67" customWidth="1"/>
    <col min="4113" max="4113" width="7" style="67" bestFit="1" customWidth="1"/>
    <col min="4114" max="4114" width="11.7109375" style="67" bestFit="1" customWidth="1"/>
    <col min="4115" max="4115" width="12.85546875" style="67" bestFit="1" customWidth="1"/>
    <col min="4116" max="4116" width="11.5703125" style="67" bestFit="1" customWidth="1"/>
    <col min="4117" max="4117" width="12.5703125" style="67" bestFit="1" customWidth="1"/>
    <col min="4118" max="4352" width="9.140625" style="67"/>
    <col min="4353" max="4353" width="2.7109375" style="67" bestFit="1" customWidth="1"/>
    <col min="4354" max="4355" width="9.140625" style="67"/>
    <col min="4356" max="4356" width="10" style="67" customWidth="1"/>
    <col min="4357" max="4357" width="13" style="67" customWidth="1"/>
    <col min="4358" max="4358" width="13.85546875" style="67" customWidth="1"/>
    <col min="4359" max="4359" width="13.28515625" style="67" bestFit="1" customWidth="1"/>
    <col min="4360" max="4360" width="15.140625" style="67" customWidth="1"/>
    <col min="4361" max="4361" width="14.7109375" style="67" customWidth="1"/>
    <col min="4362" max="4362" width="13.42578125" style="67" customWidth="1"/>
    <col min="4363" max="4363" width="12.85546875" style="67" bestFit="1" customWidth="1"/>
    <col min="4364" max="4364" width="9.28515625" style="67" bestFit="1" customWidth="1"/>
    <col min="4365" max="4365" width="11.85546875" style="67" bestFit="1" customWidth="1"/>
    <col min="4366" max="4366" width="2.7109375" style="67" bestFit="1" customWidth="1"/>
    <col min="4367" max="4367" width="40.7109375" style="67" bestFit="1" customWidth="1"/>
    <col min="4368" max="4368" width="12.5703125" style="67" customWidth="1"/>
    <col min="4369" max="4369" width="7" style="67" bestFit="1" customWidth="1"/>
    <col min="4370" max="4370" width="11.7109375" style="67" bestFit="1" customWidth="1"/>
    <col min="4371" max="4371" width="12.85546875" style="67" bestFit="1" customWidth="1"/>
    <col min="4372" max="4372" width="11.5703125" style="67" bestFit="1" customWidth="1"/>
    <col min="4373" max="4373" width="12.5703125" style="67" bestFit="1" customWidth="1"/>
    <col min="4374" max="4608" width="9.140625" style="67"/>
    <col min="4609" max="4609" width="2.7109375" style="67" bestFit="1" customWidth="1"/>
    <col min="4610" max="4611" width="9.140625" style="67"/>
    <col min="4612" max="4612" width="10" style="67" customWidth="1"/>
    <col min="4613" max="4613" width="13" style="67" customWidth="1"/>
    <col min="4614" max="4614" width="13.85546875" style="67" customWidth="1"/>
    <col min="4615" max="4615" width="13.28515625" style="67" bestFit="1" customWidth="1"/>
    <col min="4616" max="4616" width="15.140625" style="67" customWidth="1"/>
    <col min="4617" max="4617" width="14.7109375" style="67" customWidth="1"/>
    <col min="4618" max="4618" width="13.42578125" style="67" customWidth="1"/>
    <col min="4619" max="4619" width="12.85546875" style="67" bestFit="1" customWidth="1"/>
    <col min="4620" max="4620" width="9.28515625" style="67" bestFit="1" customWidth="1"/>
    <col min="4621" max="4621" width="11.85546875" style="67" bestFit="1" customWidth="1"/>
    <col min="4622" max="4622" width="2.7109375" style="67" bestFit="1" customWidth="1"/>
    <col min="4623" max="4623" width="40.7109375" style="67" bestFit="1" customWidth="1"/>
    <col min="4624" max="4624" width="12.5703125" style="67" customWidth="1"/>
    <col min="4625" max="4625" width="7" style="67" bestFit="1" customWidth="1"/>
    <col min="4626" max="4626" width="11.7109375" style="67" bestFit="1" customWidth="1"/>
    <col min="4627" max="4627" width="12.85546875" style="67" bestFit="1" customWidth="1"/>
    <col min="4628" max="4628" width="11.5703125" style="67" bestFit="1" customWidth="1"/>
    <col min="4629" max="4629" width="12.5703125" style="67" bestFit="1" customWidth="1"/>
    <col min="4630" max="4864" width="9.140625" style="67"/>
    <col min="4865" max="4865" width="2.7109375" style="67" bestFit="1" customWidth="1"/>
    <col min="4866" max="4867" width="9.140625" style="67"/>
    <col min="4868" max="4868" width="10" style="67" customWidth="1"/>
    <col min="4869" max="4869" width="13" style="67" customWidth="1"/>
    <col min="4870" max="4870" width="13.85546875" style="67" customWidth="1"/>
    <col min="4871" max="4871" width="13.28515625" style="67" bestFit="1" customWidth="1"/>
    <col min="4872" max="4872" width="15.140625" style="67" customWidth="1"/>
    <col min="4873" max="4873" width="14.7109375" style="67" customWidth="1"/>
    <col min="4874" max="4874" width="13.42578125" style="67" customWidth="1"/>
    <col min="4875" max="4875" width="12.85546875" style="67" bestFit="1" customWidth="1"/>
    <col min="4876" max="4876" width="9.28515625" style="67" bestFit="1" customWidth="1"/>
    <col min="4877" max="4877" width="11.85546875" style="67" bestFit="1" customWidth="1"/>
    <col min="4878" max="4878" width="2.7109375" style="67" bestFit="1" customWidth="1"/>
    <col min="4879" max="4879" width="40.7109375" style="67" bestFit="1" customWidth="1"/>
    <col min="4880" max="4880" width="12.5703125" style="67" customWidth="1"/>
    <col min="4881" max="4881" width="7" style="67" bestFit="1" customWidth="1"/>
    <col min="4882" max="4882" width="11.7109375" style="67" bestFit="1" customWidth="1"/>
    <col min="4883" max="4883" width="12.85546875" style="67" bestFit="1" customWidth="1"/>
    <col min="4884" max="4884" width="11.5703125" style="67" bestFit="1" customWidth="1"/>
    <col min="4885" max="4885" width="12.5703125" style="67" bestFit="1" customWidth="1"/>
    <col min="4886" max="5120" width="9.140625" style="67"/>
    <col min="5121" max="5121" width="2.7109375" style="67" bestFit="1" customWidth="1"/>
    <col min="5122" max="5123" width="9.140625" style="67"/>
    <col min="5124" max="5124" width="10" style="67" customWidth="1"/>
    <col min="5125" max="5125" width="13" style="67" customWidth="1"/>
    <col min="5126" max="5126" width="13.85546875" style="67" customWidth="1"/>
    <col min="5127" max="5127" width="13.28515625" style="67" bestFit="1" customWidth="1"/>
    <col min="5128" max="5128" width="15.140625" style="67" customWidth="1"/>
    <col min="5129" max="5129" width="14.7109375" style="67" customWidth="1"/>
    <col min="5130" max="5130" width="13.42578125" style="67" customWidth="1"/>
    <col min="5131" max="5131" width="12.85546875" style="67" bestFit="1" customWidth="1"/>
    <col min="5132" max="5132" width="9.28515625" style="67" bestFit="1" customWidth="1"/>
    <col min="5133" max="5133" width="11.85546875" style="67" bestFit="1" customWidth="1"/>
    <col min="5134" max="5134" width="2.7109375" style="67" bestFit="1" customWidth="1"/>
    <col min="5135" max="5135" width="40.7109375" style="67" bestFit="1" customWidth="1"/>
    <col min="5136" max="5136" width="12.5703125" style="67" customWidth="1"/>
    <col min="5137" max="5137" width="7" style="67" bestFit="1" customWidth="1"/>
    <col min="5138" max="5138" width="11.7109375" style="67" bestFit="1" customWidth="1"/>
    <col min="5139" max="5139" width="12.85546875" style="67" bestFit="1" customWidth="1"/>
    <col min="5140" max="5140" width="11.5703125" style="67" bestFit="1" customWidth="1"/>
    <col min="5141" max="5141" width="12.5703125" style="67" bestFit="1" customWidth="1"/>
    <col min="5142" max="5376" width="9.140625" style="67"/>
    <col min="5377" max="5377" width="2.7109375" style="67" bestFit="1" customWidth="1"/>
    <col min="5378" max="5379" width="9.140625" style="67"/>
    <col min="5380" max="5380" width="10" style="67" customWidth="1"/>
    <col min="5381" max="5381" width="13" style="67" customWidth="1"/>
    <col min="5382" max="5382" width="13.85546875" style="67" customWidth="1"/>
    <col min="5383" max="5383" width="13.28515625" style="67" bestFit="1" customWidth="1"/>
    <col min="5384" max="5384" width="15.140625" style="67" customWidth="1"/>
    <col min="5385" max="5385" width="14.7109375" style="67" customWidth="1"/>
    <col min="5386" max="5386" width="13.42578125" style="67" customWidth="1"/>
    <col min="5387" max="5387" width="12.85546875" style="67" bestFit="1" customWidth="1"/>
    <col min="5388" max="5388" width="9.28515625" style="67" bestFit="1" customWidth="1"/>
    <col min="5389" max="5389" width="11.85546875" style="67" bestFit="1" customWidth="1"/>
    <col min="5390" max="5390" width="2.7109375" style="67" bestFit="1" customWidth="1"/>
    <col min="5391" max="5391" width="40.7109375" style="67" bestFit="1" customWidth="1"/>
    <col min="5392" max="5392" width="12.5703125" style="67" customWidth="1"/>
    <col min="5393" max="5393" width="7" style="67" bestFit="1" customWidth="1"/>
    <col min="5394" max="5394" width="11.7109375" style="67" bestFit="1" customWidth="1"/>
    <col min="5395" max="5395" width="12.85546875" style="67" bestFit="1" customWidth="1"/>
    <col min="5396" max="5396" width="11.5703125" style="67" bestFit="1" customWidth="1"/>
    <col min="5397" max="5397" width="12.5703125" style="67" bestFit="1" customWidth="1"/>
    <col min="5398" max="5632" width="9.140625" style="67"/>
    <col min="5633" max="5633" width="2.7109375" style="67" bestFit="1" customWidth="1"/>
    <col min="5634" max="5635" width="9.140625" style="67"/>
    <col min="5636" max="5636" width="10" style="67" customWidth="1"/>
    <col min="5637" max="5637" width="13" style="67" customWidth="1"/>
    <col min="5638" max="5638" width="13.85546875" style="67" customWidth="1"/>
    <col min="5639" max="5639" width="13.28515625" style="67" bestFit="1" customWidth="1"/>
    <col min="5640" max="5640" width="15.140625" style="67" customWidth="1"/>
    <col min="5641" max="5641" width="14.7109375" style="67" customWidth="1"/>
    <col min="5642" max="5642" width="13.42578125" style="67" customWidth="1"/>
    <col min="5643" max="5643" width="12.85546875" style="67" bestFit="1" customWidth="1"/>
    <col min="5644" max="5644" width="9.28515625" style="67" bestFit="1" customWidth="1"/>
    <col min="5645" max="5645" width="11.85546875" style="67" bestFit="1" customWidth="1"/>
    <col min="5646" max="5646" width="2.7109375" style="67" bestFit="1" customWidth="1"/>
    <col min="5647" max="5647" width="40.7109375" style="67" bestFit="1" customWidth="1"/>
    <col min="5648" max="5648" width="12.5703125" style="67" customWidth="1"/>
    <col min="5649" max="5649" width="7" style="67" bestFit="1" customWidth="1"/>
    <col min="5650" max="5650" width="11.7109375" style="67" bestFit="1" customWidth="1"/>
    <col min="5651" max="5651" width="12.85546875" style="67" bestFit="1" customWidth="1"/>
    <col min="5652" max="5652" width="11.5703125" style="67" bestFit="1" customWidth="1"/>
    <col min="5653" max="5653" width="12.5703125" style="67" bestFit="1" customWidth="1"/>
    <col min="5654" max="5888" width="9.140625" style="67"/>
    <col min="5889" max="5889" width="2.7109375" style="67" bestFit="1" customWidth="1"/>
    <col min="5890" max="5891" width="9.140625" style="67"/>
    <col min="5892" max="5892" width="10" style="67" customWidth="1"/>
    <col min="5893" max="5893" width="13" style="67" customWidth="1"/>
    <col min="5894" max="5894" width="13.85546875" style="67" customWidth="1"/>
    <col min="5895" max="5895" width="13.28515625" style="67" bestFit="1" customWidth="1"/>
    <col min="5896" max="5896" width="15.140625" style="67" customWidth="1"/>
    <col min="5897" max="5897" width="14.7109375" style="67" customWidth="1"/>
    <col min="5898" max="5898" width="13.42578125" style="67" customWidth="1"/>
    <col min="5899" max="5899" width="12.85546875" style="67" bestFit="1" customWidth="1"/>
    <col min="5900" max="5900" width="9.28515625" style="67" bestFit="1" customWidth="1"/>
    <col min="5901" max="5901" width="11.85546875" style="67" bestFit="1" customWidth="1"/>
    <col min="5902" max="5902" width="2.7109375" style="67" bestFit="1" customWidth="1"/>
    <col min="5903" max="5903" width="40.7109375" style="67" bestFit="1" customWidth="1"/>
    <col min="5904" max="5904" width="12.5703125" style="67" customWidth="1"/>
    <col min="5905" max="5905" width="7" style="67" bestFit="1" customWidth="1"/>
    <col min="5906" max="5906" width="11.7109375" style="67" bestFit="1" customWidth="1"/>
    <col min="5907" max="5907" width="12.85546875" style="67" bestFit="1" customWidth="1"/>
    <col min="5908" max="5908" width="11.5703125" style="67" bestFit="1" customWidth="1"/>
    <col min="5909" max="5909" width="12.5703125" style="67" bestFit="1" customWidth="1"/>
    <col min="5910" max="6144" width="9.140625" style="67"/>
    <col min="6145" max="6145" width="2.7109375" style="67" bestFit="1" customWidth="1"/>
    <col min="6146" max="6147" width="9.140625" style="67"/>
    <col min="6148" max="6148" width="10" style="67" customWidth="1"/>
    <col min="6149" max="6149" width="13" style="67" customWidth="1"/>
    <col min="6150" max="6150" width="13.85546875" style="67" customWidth="1"/>
    <col min="6151" max="6151" width="13.28515625" style="67" bestFit="1" customWidth="1"/>
    <col min="6152" max="6152" width="15.140625" style="67" customWidth="1"/>
    <col min="6153" max="6153" width="14.7109375" style="67" customWidth="1"/>
    <col min="6154" max="6154" width="13.42578125" style="67" customWidth="1"/>
    <col min="6155" max="6155" width="12.85546875" style="67" bestFit="1" customWidth="1"/>
    <col min="6156" max="6156" width="9.28515625" style="67" bestFit="1" customWidth="1"/>
    <col min="6157" max="6157" width="11.85546875" style="67" bestFit="1" customWidth="1"/>
    <col min="6158" max="6158" width="2.7109375" style="67" bestFit="1" customWidth="1"/>
    <col min="6159" max="6159" width="40.7109375" style="67" bestFit="1" customWidth="1"/>
    <col min="6160" max="6160" width="12.5703125" style="67" customWidth="1"/>
    <col min="6161" max="6161" width="7" style="67" bestFit="1" customWidth="1"/>
    <col min="6162" max="6162" width="11.7109375" style="67" bestFit="1" customWidth="1"/>
    <col min="6163" max="6163" width="12.85546875" style="67" bestFit="1" customWidth="1"/>
    <col min="6164" max="6164" width="11.5703125" style="67" bestFit="1" customWidth="1"/>
    <col min="6165" max="6165" width="12.5703125" style="67" bestFit="1" customWidth="1"/>
    <col min="6166" max="6400" width="9.140625" style="67"/>
    <col min="6401" max="6401" width="2.7109375" style="67" bestFit="1" customWidth="1"/>
    <col min="6402" max="6403" width="9.140625" style="67"/>
    <col min="6404" max="6404" width="10" style="67" customWidth="1"/>
    <col min="6405" max="6405" width="13" style="67" customWidth="1"/>
    <col min="6406" max="6406" width="13.85546875" style="67" customWidth="1"/>
    <col min="6407" max="6407" width="13.28515625" style="67" bestFit="1" customWidth="1"/>
    <col min="6408" max="6408" width="15.140625" style="67" customWidth="1"/>
    <col min="6409" max="6409" width="14.7109375" style="67" customWidth="1"/>
    <col min="6410" max="6410" width="13.42578125" style="67" customWidth="1"/>
    <col min="6411" max="6411" width="12.85546875" style="67" bestFit="1" customWidth="1"/>
    <col min="6412" max="6412" width="9.28515625" style="67" bestFit="1" customWidth="1"/>
    <col min="6413" max="6413" width="11.85546875" style="67" bestFit="1" customWidth="1"/>
    <col min="6414" max="6414" width="2.7109375" style="67" bestFit="1" customWidth="1"/>
    <col min="6415" max="6415" width="40.7109375" style="67" bestFit="1" customWidth="1"/>
    <col min="6416" max="6416" width="12.5703125" style="67" customWidth="1"/>
    <col min="6417" max="6417" width="7" style="67" bestFit="1" customWidth="1"/>
    <col min="6418" max="6418" width="11.7109375" style="67" bestFit="1" customWidth="1"/>
    <col min="6419" max="6419" width="12.85546875" style="67" bestFit="1" customWidth="1"/>
    <col min="6420" max="6420" width="11.5703125" style="67" bestFit="1" customWidth="1"/>
    <col min="6421" max="6421" width="12.5703125" style="67" bestFit="1" customWidth="1"/>
    <col min="6422" max="6656" width="9.140625" style="67"/>
    <col min="6657" max="6657" width="2.7109375" style="67" bestFit="1" customWidth="1"/>
    <col min="6658" max="6659" width="9.140625" style="67"/>
    <col min="6660" max="6660" width="10" style="67" customWidth="1"/>
    <col min="6661" max="6661" width="13" style="67" customWidth="1"/>
    <col min="6662" max="6662" width="13.85546875" style="67" customWidth="1"/>
    <col min="6663" max="6663" width="13.28515625" style="67" bestFit="1" customWidth="1"/>
    <col min="6664" max="6664" width="15.140625" style="67" customWidth="1"/>
    <col min="6665" max="6665" width="14.7109375" style="67" customWidth="1"/>
    <col min="6666" max="6666" width="13.42578125" style="67" customWidth="1"/>
    <col min="6667" max="6667" width="12.85546875" style="67" bestFit="1" customWidth="1"/>
    <col min="6668" max="6668" width="9.28515625" style="67" bestFit="1" customWidth="1"/>
    <col min="6669" max="6669" width="11.85546875" style="67" bestFit="1" customWidth="1"/>
    <col min="6670" max="6670" width="2.7109375" style="67" bestFit="1" customWidth="1"/>
    <col min="6671" max="6671" width="40.7109375" style="67" bestFit="1" customWidth="1"/>
    <col min="6672" max="6672" width="12.5703125" style="67" customWidth="1"/>
    <col min="6673" max="6673" width="7" style="67" bestFit="1" customWidth="1"/>
    <col min="6674" max="6674" width="11.7109375" style="67" bestFit="1" customWidth="1"/>
    <col min="6675" max="6675" width="12.85546875" style="67" bestFit="1" customWidth="1"/>
    <col min="6676" max="6676" width="11.5703125" style="67" bestFit="1" customWidth="1"/>
    <col min="6677" max="6677" width="12.5703125" style="67" bestFit="1" customWidth="1"/>
    <col min="6678" max="6912" width="9.140625" style="67"/>
    <col min="6913" max="6913" width="2.7109375" style="67" bestFit="1" customWidth="1"/>
    <col min="6914" max="6915" width="9.140625" style="67"/>
    <col min="6916" max="6916" width="10" style="67" customWidth="1"/>
    <col min="6917" max="6917" width="13" style="67" customWidth="1"/>
    <col min="6918" max="6918" width="13.85546875" style="67" customWidth="1"/>
    <col min="6919" max="6919" width="13.28515625" style="67" bestFit="1" customWidth="1"/>
    <col min="6920" max="6920" width="15.140625" style="67" customWidth="1"/>
    <col min="6921" max="6921" width="14.7109375" style="67" customWidth="1"/>
    <col min="6922" max="6922" width="13.42578125" style="67" customWidth="1"/>
    <col min="6923" max="6923" width="12.85546875" style="67" bestFit="1" customWidth="1"/>
    <col min="6924" max="6924" width="9.28515625" style="67" bestFit="1" customWidth="1"/>
    <col min="6925" max="6925" width="11.85546875" style="67" bestFit="1" customWidth="1"/>
    <col min="6926" max="6926" width="2.7109375" style="67" bestFit="1" customWidth="1"/>
    <col min="6927" max="6927" width="40.7109375" style="67" bestFit="1" customWidth="1"/>
    <col min="6928" max="6928" width="12.5703125" style="67" customWidth="1"/>
    <col min="6929" max="6929" width="7" style="67" bestFit="1" customWidth="1"/>
    <col min="6930" max="6930" width="11.7109375" style="67" bestFit="1" customWidth="1"/>
    <col min="6931" max="6931" width="12.85546875" style="67" bestFit="1" customWidth="1"/>
    <col min="6932" max="6932" width="11.5703125" style="67" bestFit="1" customWidth="1"/>
    <col min="6933" max="6933" width="12.5703125" style="67" bestFit="1" customWidth="1"/>
    <col min="6934" max="7168" width="9.140625" style="67"/>
    <col min="7169" max="7169" width="2.7109375" style="67" bestFit="1" customWidth="1"/>
    <col min="7170" max="7171" width="9.140625" style="67"/>
    <col min="7172" max="7172" width="10" style="67" customWidth="1"/>
    <col min="7173" max="7173" width="13" style="67" customWidth="1"/>
    <col min="7174" max="7174" width="13.85546875" style="67" customWidth="1"/>
    <col min="7175" max="7175" width="13.28515625" style="67" bestFit="1" customWidth="1"/>
    <col min="7176" max="7176" width="15.140625" style="67" customWidth="1"/>
    <col min="7177" max="7177" width="14.7109375" style="67" customWidth="1"/>
    <col min="7178" max="7178" width="13.42578125" style="67" customWidth="1"/>
    <col min="7179" max="7179" width="12.85546875" style="67" bestFit="1" customWidth="1"/>
    <col min="7180" max="7180" width="9.28515625" style="67" bestFit="1" customWidth="1"/>
    <col min="7181" max="7181" width="11.85546875" style="67" bestFit="1" customWidth="1"/>
    <col min="7182" max="7182" width="2.7109375" style="67" bestFit="1" customWidth="1"/>
    <col min="7183" max="7183" width="40.7109375" style="67" bestFit="1" customWidth="1"/>
    <col min="7184" max="7184" width="12.5703125" style="67" customWidth="1"/>
    <col min="7185" max="7185" width="7" style="67" bestFit="1" customWidth="1"/>
    <col min="7186" max="7186" width="11.7109375" style="67" bestFit="1" customWidth="1"/>
    <col min="7187" max="7187" width="12.85546875" style="67" bestFit="1" customWidth="1"/>
    <col min="7188" max="7188" width="11.5703125" style="67" bestFit="1" customWidth="1"/>
    <col min="7189" max="7189" width="12.5703125" style="67" bestFit="1" customWidth="1"/>
    <col min="7190" max="7424" width="9.140625" style="67"/>
    <col min="7425" max="7425" width="2.7109375" style="67" bestFit="1" customWidth="1"/>
    <col min="7426" max="7427" width="9.140625" style="67"/>
    <col min="7428" max="7428" width="10" style="67" customWidth="1"/>
    <col min="7429" max="7429" width="13" style="67" customWidth="1"/>
    <col min="7430" max="7430" width="13.85546875" style="67" customWidth="1"/>
    <col min="7431" max="7431" width="13.28515625" style="67" bestFit="1" customWidth="1"/>
    <col min="7432" max="7432" width="15.140625" style="67" customWidth="1"/>
    <col min="7433" max="7433" width="14.7109375" style="67" customWidth="1"/>
    <col min="7434" max="7434" width="13.42578125" style="67" customWidth="1"/>
    <col min="7435" max="7435" width="12.85546875" style="67" bestFit="1" customWidth="1"/>
    <col min="7436" max="7436" width="9.28515625" style="67" bestFit="1" customWidth="1"/>
    <col min="7437" max="7437" width="11.85546875" style="67" bestFit="1" customWidth="1"/>
    <col min="7438" max="7438" width="2.7109375" style="67" bestFit="1" customWidth="1"/>
    <col min="7439" max="7439" width="40.7109375" style="67" bestFit="1" customWidth="1"/>
    <col min="7440" max="7440" width="12.5703125" style="67" customWidth="1"/>
    <col min="7441" max="7441" width="7" style="67" bestFit="1" customWidth="1"/>
    <col min="7442" max="7442" width="11.7109375" style="67" bestFit="1" customWidth="1"/>
    <col min="7443" max="7443" width="12.85546875" style="67" bestFit="1" customWidth="1"/>
    <col min="7444" max="7444" width="11.5703125" style="67" bestFit="1" customWidth="1"/>
    <col min="7445" max="7445" width="12.5703125" style="67" bestFit="1" customWidth="1"/>
    <col min="7446" max="7680" width="9.140625" style="67"/>
    <col min="7681" max="7681" width="2.7109375" style="67" bestFit="1" customWidth="1"/>
    <col min="7682" max="7683" width="9.140625" style="67"/>
    <col min="7684" max="7684" width="10" style="67" customWidth="1"/>
    <col min="7685" max="7685" width="13" style="67" customWidth="1"/>
    <col min="7686" max="7686" width="13.85546875" style="67" customWidth="1"/>
    <col min="7687" max="7687" width="13.28515625" style="67" bestFit="1" customWidth="1"/>
    <col min="7688" max="7688" width="15.140625" style="67" customWidth="1"/>
    <col min="7689" max="7689" width="14.7109375" style="67" customWidth="1"/>
    <col min="7690" max="7690" width="13.42578125" style="67" customWidth="1"/>
    <col min="7691" max="7691" width="12.85546875" style="67" bestFit="1" customWidth="1"/>
    <col min="7692" max="7692" width="9.28515625" style="67" bestFit="1" customWidth="1"/>
    <col min="7693" max="7693" width="11.85546875" style="67" bestFit="1" customWidth="1"/>
    <col min="7694" max="7694" width="2.7109375" style="67" bestFit="1" customWidth="1"/>
    <col min="7695" max="7695" width="40.7109375" style="67" bestFit="1" customWidth="1"/>
    <col min="7696" max="7696" width="12.5703125" style="67" customWidth="1"/>
    <col min="7697" max="7697" width="7" style="67" bestFit="1" customWidth="1"/>
    <col min="7698" max="7698" width="11.7109375" style="67" bestFit="1" customWidth="1"/>
    <col min="7699" max="7699" width="12.85546875" style="67" bestFit="1" customWidth="1"/>
    <col min="7700" max="7700" width="11.5703125" style="67" bestFit="1" customWidth="1"/>
    <col min="7701" max="7701" width="12.5703125" style="67" bestFit="1" customWidth="1"/>
    <col min="7702" max="7936" width="9.140625" style="67"/>
    <col min="7937" max="7937" width="2.7109375" style="67" bestFit="1" customWidth="1"/>
    <col min="7938" max="7939" width="9.140625" style="67"/>
    <col min="7940" max="7940" width="10" style="67" customWidth="1"/>
    <col min="7941" max="7941" width="13" style="67" customWidth="1"/>
    <col min="7942" max="7942" width="13.85546875" style="67" customWidth="1"/>
    <col min="7943" max="7943" width="13.28515625" style="67" bestFit="1" customWidth="1"/>
    <col min="7944" max="7944" width="15.140625" style="67" customWidth="1"/>
    <col min="7945" max="7945" width="14.7109375" style="67" customWidth="1"/>
    <col min="7946" max="7946" width="13.42578125" style="67" customWidth="1"/>
    <col min="7947" max="7947" width="12.85546875" style="67" bestFit="1" customWidth="1"/>
    <col min="7948" max="7948" width="9.28515625" style="67" bestFit="1" customWidth="1"/>
    <col min="7949" max="7949" width="11.85546875" style="67" bestFit="1" customWidth="1"/>
    <col min="7950" max="7950" width="2.7109375" style="67" bestFit="1" customWidth="1"/>
    <col min="7951" max="7951" width="40.7109375" style="67" bestFit="1" customWidth="1"/>
    <col min="7952" max="7952" width="12.5703125" style="67" customWidth="1"/>
    <col min="7953" max="7953" width="7" style="67" bestFit="1" customWidth="1"/>
    <col min="7954" max="7954" width="11.7109375" style="67" bestFit="1" customWidth="1"/>
    <col min="7955" max="7955" width="12.85546875" style="67" bestFit="1" customWidth="1"/>
    <col min="7956" max="7956" width="11.5703125" style="67" bestFit="1" customWidth="1"/>
    <col min="7957" max="7957" width="12.5703125" style="67" bestFit="1" customWidth="1"/>
    <col min="7958" max="8192" width="9.140625" style="67"/>
    <col min="8193" max="8193" width="2.7109375" style="67" bestFit="1" customWidth="1"/>
    <col min="8194" max="8195" width="9.140625" style="67"/>
    <col min="8196" max="8196" width="10" style="67" customWidth="1"/>
    <col min="8197" max="8197" width="13" style="67" customWidth="1"/>
    <col min="8198" max="8198" width="13.85546875" style="67" customWidth="1"/>
    <col min="8199" max="8199" width="13.28515625" style="67" bestFit="1" customWidth="1"/>
    <col min="8200" max="8200" width="15.140625" style="67" customWidth="1"/>
    <col min="8201" max="8201" width="14.7109375" style="67" customWidth="1"/>
    <col min="8202" max="8202" width="13.42578125" style="67" customWidth="1"/>
    <col min="8203" max="8203" width="12.85546875" style="67" bestFit="1" customWidth="1"/>
    <col min="8204" max="8204" width="9.28515625" style="67" bestFit="1" customWidth="1"/>
    <col min="8205" max="8205" width="11.85546875" style="67" bestFit="1" customWidth="1"/>
    <col min="8206" max="8206" width="2.7109375" style="67" bestFit="1" customWidth="1"/>
    <col min="8207" max="8207" width="40.7109375" style="67" bestFit="1" customWidth="1"/>
    <col min="8208" max="8208" width="12.5703125" style="67" customWidth="1"/>
    <col min="8209" max="8209" width="7" style="67" bestFit="1" customWidth="1"/>
    <col min="8210" max="8210" width="11.7109375" style="67" bestFit="1" customWidth="1"/>
    <col min="8211" max="8211" width="12.85546875" style="67" bestFit="1" customWidth="1"/>
    <col min="8212" max="8212" width="11.5703125" style="67" bestFit="1" customWidth="1"/>
    <col min="8213" max="8213" width="12.5703125" style="67" bestFit="1" customWidth="1"/>
    <col min="8214" max="8448" width="9.140625" style="67"/>
    <col min="8449" max="8449" width="2.7109375" style="67" bestFit="1" customWidth="1"/>
    <col min="8450" max="8451" width="9.140625" style="67"/>
    <col min="8452" max="8452" width="10" style="67" customWidth="1"/>
    <col min="8453" max="8453" width="13" style="67" customWidth="1"/>
    <col min="8454" max="8454" width="13.85546875" style="67" customWidth="1"/>
    <col min="8455" max="8455" width="13.28515625" style="67" bestFit="1" customWidth="1"/>
    <col min="8456" max="8456" width="15.140625" style="67" customWidth="1"/>
    <col min="8457" max="8457" width="14.7109375" style="67" customWidth="1"/>
    <col min="8458" max="8458" width="13.42578125" style="67" customWidth="1"/>
    <col min="8459" max="8459" width="12.85546875" style="67" bestFit="1" customWidth="1"/>
    <col min="8460" max="8460" width="9.28515625" style="67" bestFit="1" customWidth="1"/>
    <col min="8461" max="8461" width="11.85546875" style="67" bestFit="1" customWidth="1"/>
    <col min="8462" max="8462" width="2.7109375" style="67" bestFit="1" customWidth="1"/>
    <col min="8463" max="8463" width="40.7109375" style="67" bestFit="1" customWidth="1"/>
    <col min="8464" max="8464" width="12.5703125" style="67" customWidth="1"/>
    <col min="8465" max="8465" width="7" style="67" bestFit="1" customWidth="1"/>
    <col min="8466" max="8466" width="11.7109375" style="67" bestFit="1" customWidth="1"/>
    <col min="8467" max="8467" width="12.85546875" style="67" bestFit="1" customWidth="1"/>
    <col min="8468" max="8468" width="11.5703125" style="67" bestFit="1" customWidth="1"/>
    <col min="8469" max="8469" width="12.5703125" style="67" bestFit="1" customWidth="1"/>
    <col min="8470" max="8704" width="9.140625" style="67"/>
    <col min="8705" max="8705" width="2.7109375" style="67" bestFit="1" customWidth="1"/>
    <col min="8706" max="8707" width="9.140625" style="67"/>
    <col min="8708" max="8708" width="10" style="67" customWidth="1"/>
    <col min="8709" max="8709" width="13" style="67" customWidth="1"/>
    <col min="8710" max="8710" width="13.85546875" style="67" customWidth="1"/>
    <col min="8711" max="8711" width="13.28515625" style="67" bestFit="1" customWidth="1"/>
    <col min="8712" max="8712" width="15.140625" style="67" customWidth="1"/>
    <col min="8713" max="8713" width="14.7109375" style="67" customWidth="1"/>
    <col min="8714" max="8714" width="13.42578125" style="67" customWidth="1"/>
    <col min="8715" max="8715" width="12.85546875" style="67" bestFit="1" customWidth="1"/>
    <col min="8716" max="8716" width="9.28515625" style="67" bestFit="1" customWidth="1"/>
    <col min="8717" max="8717" width="11.85546875" style="67" bestFit="1" customWidth="1"/>
    <col min="8718" max="8718" width="2.7109375" style="67" bestFit="1" customWidth="1"/>
    <col min="8719" max="8719" width="40.7109375" style="67" bestFit="1" customWidth="1"/>
    <col min="8720" max="8720" width="12.5703125" style="67" customWidth="1"/>
    <col min="8721" max="8721" width="7" style="67" bestFit="1" customWidth="1"/>
    <col min="8722" max="8722" width="11.7109375" style="67" bestFit="1" customWidth="1"/>
    <col min="8723" max="8723" width="12.85546875" style="67" bestFit="1" customWidth="1"/>
    <col min="8724" max="8724" width="11.5703125" style="67" bestFit="1" customWidth="1"/>
    <col min="8725" max="8725" width="12.5703125" style="67" bestFit="1" customWidth="1"/>
    <col min="8726" max="8960" width="9.140625" style="67"/>
    <col min="8961" max="8961" width="2.7109375" style="67" bestFit="1" customWidth="1"/>
    <col min="8962" max="8963" width="9.140625" style="67"/>
    <col min="8964" max="8964" width="10" style="67" customWidth="1"/>
    <col min="8965" max="8965" width="13" style="67" customWidth="1"/>
    <col min="8966" max="8966" width="13.85546875" style="67" customWidth="1"/>
    <col min="8967" max="8967" width="13.28515625" style="67" bestFit="1" customWidth="1"/>
    <col min="8968" max="8968" width="15.140625" style="67" customWidth="1"/>
    <col min="8969" max="8969" width="14.7109375" style="67" customWidth="1"/>
    <col min="8970" max="8970" width="13.42578125" style="67" customWidth="1"/>
    <col min="8971" max="8971" width="12.85546875" style="67" bestFit="1" customWidth="1"/>
    <col min="8972" max="8972" width="9.28515625" style="67" bestFit="1" customWidth="1"/>
    <col min="8973" max="8973" width="11.85546875" style="67" bestFit="1" customWidth="1"/>
    <col min="8974" max="8974" width="2.7109375" style="67" bestFit="1" customWidth="1"/>
    <col min="8975" max="8975" width="40.7109375" style="67" bestFit="1" customWidth="1"/>
    <col min="8976" max="8976" width="12.5703125" style="67" customWidth="1"/>
    <col min="8977" max="8977" width="7" style="67" bestFit="1" customWidth="1"/>
    <col min="8978" max="8978" width="11.7109375" style="67" bestFit="1" customWidth="1"/>
    <col min="8979" max="8979" width="12.85546875" style="67" bestFit="1" customWidth="1"/>
    <col min="8980" max="8980" width="11.5703125" style="67" bestFit="1" customWidth="1"/>
    <col min="8981" max="8981" width="12.5703125" style="67" bestFit="1" customWidth="1"/>
    <col min="8982" max="9216" width="9.140625" style="67"/>
    <col min="9217" max="9217" width="2.7109375" style="67" bestFit="1" customWidth="1"/>
    <col min="9218" max="9219" width="9.140625" style="67"/>
    <col min="9220" max="9220" width="10" style="67" customWidth="1"/>
    <col min="9221" max="9221" width="13" style="67" customWidth="1"/>
    <col min="9222" max="9222" width="13.85546875" style="67" customWidth="1"/>
    <col min="9223" max="9223" width="13.28515625" style="67" bestFit="1" customWidth="1"/>
    <col min="9224" max="9224" width="15.140625" style="67" customWidth="1"/>
    <col min="9225" max="9225" width="14.7109375" style="67" customWidth="1"/>
    <col min="9226" max="9226" width="13.42578125" style="67" customWidth="1"/>
    <col min="9227" max="9227" width="12.85546875" style="67" bestFit="1" customWidth="1"/>
    <col min="9228" max="9228" width="9.28515625" style="67" bestFit="1" customWidth="1"/>
    <col min="9229" max="9229" width="11.85546875" style="67" bestFit="1" customWidth="1"/>
    <col min="9230" max="9230" width="2.7109375" style="67" bestFit="1" customWidth="1"/>
    <col min="9231" max="9231" width="40.7109375" style="67" bestFit="1" customWidth="1"/>
    <col min="9232" max="9232" width="12.5703125" style="67" customWidth="1"/>
    <col min="9233" max="9233" width="7" style="67" bestFit="1" customWidth="1"/>
    <col min="9234" max="9234" width="11.7109375" style="67" bestFit="1" customWidth="1"/>
    <col min="9235" max="9235" width="12.85546875" style="67" bestFit="1" customWidth="1"/>
    <col min="9236" max="9236" width="11.5703125" style="67" bestFit="1" customWidth="1"/>
    <col min="9237" max="9237" width="12.5703125" style="67" bestFit="1" customWidth="1"/>
    <col min="9238" max="9472" width="9.140625" style="67"/>
    <col min="9473" max="9473" width="2.7109375" style="67" bestFit="1" customWidth="1"/>
    <col min="9474" max="9475" width="9.140625" style="67"/>
    <col min="9476" max="9476" width="10" style="67" customWidth="1"/>
    <col min="9477" max="9477" width="13" style="67" customWidth="1"/>
    <col min="9478" max="9478" width="13.85546875" style="67" customWidth="1"/>
    <col min="9479" max="9479" width="13.28515625" style="67" bestFit="1" customWidth="1"/>
    <col min="9480" max="9480" width="15.140625" style="67" customWidth="1"/>
    <col min="9481" max="9481" width="14.7109375" style="67" customWidth="1"/>
    <col min="9482" max="9482" width="13.42578125" style="67" customWidth="1"/>
    <col min="9483" max="9483" width="12.85546875" style="67" bestFit="1" customWidth="1"/>
    <col min="9484" max="9484" width="9.28515625" style="67" bestFit="1" customWidth="1"/>
    <col min="9485" max="9485" width="11.85546875" style="67" bestFit="1" customWidth="1"/>
    <col min="9486" max="9486" width="2.7109375" style="67" bestFit="1" customWidth="1"/>
    <col min="9487" max="9487" width="40.7109375" style="67" bestFit="1" customWidth="1"/>
    <col min="9488" max="9488" width="12.5703125" style="67" customWidth="1"/>
    <col min="9489" max="9489" width="7" style="67" bestFit="1" customWidth="1"/>
    <col min="9490" max="9490" width="11.7109375" style="67" bestFit="1" customWidth="1"/>
    <col min="9491" max="9491" width="12.85546875" style="67" bestFit="1" customWidth="1"/>
    <col min="9492" max="9492" width="11.5703125" style="67" bestFit="1" customWidth="1"/>
    <col min="9493" max="9493" width="12.5703125" style="67" bestFit="1" customWidth="1"/>
    <col min="9494" max="9728" width="9.140625" style="67"/>
    <col min="9729" max="9729" width="2.7109375" style="67" bestFit="1" customWidth="1"/>
    <col min="9730" max="9731" width="9.140625" style="67"/>
    <col min="9732" max="9732" width="10" style="67" customWidth="1"/>
    <col min="9733" max="9733" width="13" style="67" customWidth="1"/>
    <col min="9734" max="9734" width="13.85546875" style="67" customWidth="1"/>
    <col min="9735" max="9735" width="13.28515625" style="67" bestFit="1" customWidth="1"/>
    <col min="9736" max="9736" width="15.140625" style="67" customWidth="1"/>
    <col min="9737" max="9737" width="14.7109375" style="67" customWidth="1"/>
    <col min="9738" max="9738" width="13.42578125" style="67" customWidth="1"/>
    <col min="9739" max="9739" width="12.85546875" style="67" bestFit="1" customWidth="1"/>
    <col min="9740" max="9740" width="9.28515625" style="67" bestFit="1" customWidth="1"/>
    <col min="9741" max="9741" width="11.85546875" style="67" bestFit="1" customWidth="1"/>
    <col min="9742" max="9742" width="2.7109375" style="67" bestFit="1" customWidth="1"/>
    <col min="9743" max="9743" width="40.7109375" style="67" bestFit="1" customWidth="1"/>
    <col min="9744" max="9744" width="12.5703125" style="67" customWidth="1"/>
    <col min="9745" max="9745" width="7" style="67" bestFit="1" customWidth="1"/>
    <col min="9746" max="9746" width="11.7109375" style="67" bestFit="1" customWidth="1"/>
    <col min="9747" max="9747" width="12.85546875" style="67" bestFit="1" customWidth="1"/>
    <col min="9748" max="9748" width="11.5703125" style="67" bestFit="1" customWidth="1"/>
    <col min="9749" max="9749" width="12.5703125" style="67" bestFit="1" customWidth="1"/>
    <col min="9750" max="9984" width="9.140625" style="67"/>
    <col min="9985" max="9985" width="2.7109375" style="67" bestFit="1" customWidth="1"/>
    <col min="9986" max="9987" width="9.140625" style="67"/>
    <col min="9988" max="9988" width="10" style="67" customWidth="1"/>
    <col min="9989" max="9989" width="13" style="67" customWidth="1"/>
    <col min="9990" max="9990" width="13.85546875" style="67" customWidth="1"/>
    <col min="9991" max="9991" width="13.28515625" style="67" bestFit="1" customWidth="1"/>
    <col min="9992" max="9992" width="15.140625" style="67" customWidth="1"/>
    <col min="9993" max="9993" width="14.7109375" style="67" customWidth="1"/>
    <col min="9994" max="9994" width="13.42578125" style="67" customWidth="1"/>
    <col min="9995" max="9995" width="12.85546875" style="67" bestFit="1" customWidth="1"/>
    <col min="9996" max="9996" width="9.28515625" style="67" bestFit="1" customWidth="1"/>
    <col min="9997" max="9997" width="11.85546875" style="67" bestFit="1" customWidth="1"/>
    <col min="9998" max="9998" width="2.7109375" style="67" bestFit="1" customWidth="1"/>
    <col min="9999" max="9999" width="40.7109375" style="67" bestFit="1" customWidth="1"/>
    <col min="10000" max="10000" width="12.5703125" style="67" customWidth="1"/>
    <col min="10001" max="10001" width="7" style="67" bestFit="1" customWidth="1"/>
    <col min="10002" max="10002" width="11.7109375" style="67" bestFit="1" customWidth="1"/>
    <col min="10003" max="10003" width="12.85546875" style="67" bestFit="1" customWidth="1"/>
    <col min="10004" max="10004" width="11.5703125" style="67" bestFit="1" customWidth="1"/>
    <col min="10005" max="10005" width="12.5703125" style="67" bestFit="1" customWidth="1"/>
    <col min="10006" max="10240" width="9.140625" style="67"/>
    <col min="10241" max="10241" width="2.7109375" style="67" bestFit="1" customWidth="1"/>
    <col min="10242" max="10243" width="9.140625" style="67"/>
    <col min="10244" max="10244" width="10" style="67" customWidth="1"/>
    <col min="10245" max="10245" width="13" style="67" customWidth="1"/>
    <col min="10246" max="10246" width="13.85546875" style="67" customWidth="1"/>
    <col min="10247" max="10247" width="13.28515625" style="67" bestFit="1" customWidth="1"/>
    <col min="10248" max="10248" width="15.140625" style="67" customWidth="1"/>
    <col min="10249" max="10249" width="14.7109375" style="67" customWidth="1"/>
    <col min="10250" max="10250" width="13.42578125" style="67" customWidth="1"/>
    <col min="10251" max="10251" width="12.85546875" style="67" bestFit="1" customWidth="1"/>
    <col min="10252" max="10252" width="9.28515625" style="67" bestFit="1" customWidth="1"/>
    <col min="10253" max="10253" width="11.85546875" style="67" bestFit="1" customWidth="1"/>
    <col min="10254" max="10254" width="2.7109375" style="67" bestFit="1" customWidth="1"/>
    <col min="10255" max="10255" width="40.7109375" style="67" bestFit="1" customWidth="1"/>
    <col min="10256" max="10256" width="12.5703125" style="67" customWidth="1"/>
    <col min="10257" max="10257" width="7" style="67" bestFit="1" customWidth="1"/>
    <col min="10258" max="10258" width="11.7109375" style="67" bestFit="1" customWidth="1"/>
    <col min="10259" max="10259" width="12.85546875" style="67" bestFit="1" customWidth="1"/>
    <col min="10260" max="10260" width="11.5703125" style="67" bestFit="1" customWidth="1"/>
    <col min="10261" max="10261" width="12.5703125" style="67" bestFit="1" customWidth="1"/>
    <col min="10262" max="10496" width="9.140625" style="67"/>
    <col min="10497" max="10497" width="2.7109375" style="67" bestFit="1" customWidth="1"/>
    <col min="10498" max="10499" width="9.140625" style="67"/>
    <col min="10500" max="10500" width="10" style="67" customWidth="1"/>
    <col min="10501" max="10501" width="13" style="67" customWidth="1"/>
    <col min="10502" max="10502" width="13.85546875" style="67" customWidth="1"/>
    <col min="10503" max="10503" width="13.28515625" style="67" bestFit="1" customWidth="1"/>
    <col min="10504" max="10504" width="15.140625" style="67" customWidth="1"/>
    <col min="10505" max="10505" width="14.7109375" style="67" customWidth="1"/>
    <col min="10506" max="10506" width="13.42578125" style="67" customWidth="1"/>
    <col min="10507" max="10507" width="12.85546875" style="67" bestFit="1" customWidth="1"/>
    <col min="10508" max="10508" width="9.28515625" style="67" bestFit="1" customWidth="1"/>
    <col min="10509" max="10509" width="11.85546875" style="67" bestFit="1" customWidth="1"/>
    <col min="10510" max="10510" width="2.7109375" style="67" bestFit="1" customWidth="1"/>
    <col min="10511" max="10511" width="40.7109375" style="67" bestFit="1" customWidth="1"/>
    <col min="10512" max="10512" width="12.5703125" style="67" customWidth="1"/>
    <col min="10513" max="10513" width="7" style="67" bestFit="1" customWidth="1"/>
    <col min="10514" max="10514" width="11.7109375" style="67" bestFit="1" customWidth="1"/>
    <col min="10515" max="10515" width="12.85546875" style="67" bestFit="1" customWidth="1"/>
    <col min="10516" max="10516" width="11.5703125" style="67" bestFit="1" customWidth="1"/>
    <col min="10517" max="10517" width="12.5703125" style="67" bestFit="1" customWidth="1"/>
    <col min="10518" max="10752" width="9.140625" style="67"/>
    <col min="10753" max="10753" width="2.7109375" style="67" bestFit="1" customWidth="1"/>
    <col min="10754" max="10755" width="9.140625" style="67"/>
    <col min="10756" max="10756" width="10" style="67" customWidth="1"/>
    <col min="10757" max="10757" width="13" style="67" customWidth="1"/>
    <col min="10758" max="10758" width="13.85546875" style="67" customWidth="1"/>
    <col min="10759" max="10759" width="13.28515625" style="67" bestFit="1" customWidth="1"/>
    <col min="10760" max="10760" width="15.140625" style="67" customWidth="1"/>
    <col min="10761" max="10761" width="14.7109375" style="67" customWidth="1"/>
    <col min="10762" max="10762" width="13.42578125" style="67" customWidth="1"/>
    <col min="10763" max="10763" width="12.85546875" style="67" bestFit="1" customWidth="1"/>
    <col min="10764" max="10764" width="9.28515625" style="67" bestFit="1" customWidth="1"/>
    <col min="10765" max="10765" width="11.85546875" style="67" bestFit="1" customWidth="1"/>
    <col min="10766" max="10766" width="2.7109375" style="67" bestFit="1" customWidth="1"/>
    <col min="10767" max="10767" width="40.7109375" style="67" bestFit="1" customWidth="1"/>
    <col min="10768" max="10768" width="12.5703125" style="67" customWidth="1"/>
    <col min="10769" max="10769" width="7" style="67" bestFit="1" customWidth="1"/>
    <col min="10770" max="10770" width="11.7109375" style="67" bestFit="1" customWidth="1"/>
    <col min="10771" max="10771" width="12.85546875" style="67" bestFit="1" customWidth="1"/>
    <col min="10772" max="10772" width="11.5703125" style="67" bestFit="1" customWidth="1"/>
    <col min="10773" max="10773" width="12.5703125" style="67" bestFit="1" customWidth="1"/>
    <col min="10774" max="11008" width="9.140625" style="67"/>
    <col min="11009" max="11009" width="2.7109375" style="67" bestFit="1" customWidth="1"/>
    <col min="11010" max="11011" width="9.140625" style="67"/>
    <col min="11012" max="11012" width="10" style="67" customWidth="1"/>
    <col min="11013" max="11013" width="13" style="67" customWidth="1"/>
    <col min="11014" max="11014" width="13.85546875" style="67" customWidth="1"/>
    <col min="11015" max="11015" width="13.28515625" style="67" bestFit="1" customWidth="1"/>
    <col min="11016" max="11016" width="15.140625" style="67" customWidth="1"/>
    <col min="11017" max="11017" width="14.7109375" style="67" customWidth="1"/>
    <col min="11018" max="11018" width="13.42578125" style="67" customWidth="1"/>
    <col min="11019" max="11019" width="12.85546875" style="67" bestFit="1" customWidth="1"/>
    <col min="11020" max="11020" width="9.28515625" style="67" bestFit="1" customWidth="1"/>
    <col min="11021" max="11021" width="11.85546875" style="67" bestFit="1" customWidth="1"/>
    <col min="11022" max="11022" width="2.7109375" style="67" bestFit="1" customWidth="1"/>
    <col min="11023" max="11023" width="40.7109375" style="67" bestFit="1" customWidth="1"/>
    <col min="11024" max="11024" width="12.5703125" style="67" customWidth="1"/>
    <col min="11025" max="11025" width="7" style="67" bestFit="1" customWidth="1"/>
    <col min="11026" max="11026" width="11.7109375" style="67" bestFit="1" customWidth="1"/>
    <col min="11027" max="11027" width="12.85546875" style="67" bestFit="1" customWidth="1"/>
    <col min="11028" max="11028" width="11.5703125" style="67" bestFit="1" customWidth="1"/>
    <col min="11029" max="11029" width="12.5703125" style="67" bestFit="1" customWidth="1"/>
    <col min="11030" max="11264" width="9.140625" style="67"/>
    <col min="11265" max="11265" width="2.7109375" style="67" bestFit="1" customWidth="1"/>
    <col min="11266" max="11267" width="9.140625" style="67"/>
    <col min="11268" max="11268" width="10" style="67" customWidth="1"/>
    <col min="11269" max="11269" width="13" style="67" customWidth="1"/>
    <col min="11270" max="11270" width="13.85546875" style="67" customWidth="1"/>
    <col min="11271" max="11271" width="13.28515625" style="67" bestFit="1" customWidth="1"/>
    <col min="11272" max="11272" width="15.140625" style="67" customWidth="1"/>
    <col min="11273" max="11273" width="14.7109375" style="67" customWidth="1"/>
    <col min="11274" max="11274" width="13.42578125" style="67" customWidth="1"/>
    <col min="11275" max="11275" width="12.85546875" style="67" bestFit="1" customWidth="1"/>
    <col min="11276" max="11276" width="9.28515625" style="67" bestFit="1" customWidth="1"/>
    <col min="11277" max="11277" width="11.85546875" style="67" bestFit="1" customWidth="1"/>
    <col min="11278" max="11278" width="2.7109375" style="67" bestFit="1" customWidth="1"/>
    <col min="11279" max="11279" width="40.7109375" style="67" bestFit="1" customWidth="1"/>
    <col min="11280" max="11280" width="12.5703125" style="67" customWidth="1"/>
    <col min="11281" max="11281" width="7" style="67" bestFit="1" customWidth="1"/>
    <col min="11282" max="11282" width="11.7109375" style="67" bestFit="1" customWidth="1"/>
    <col min="11283" max="11283" width="12.85546875" style="67" bestFit="1" customWidth="1"/>
    <col min="11284" max="11284" width="11.5703125" style="67" bestFit="1" customWidth="1"/>
    <col min="11285" max="11285" width="12.5703125" style="67" bestFit="1" customWidth="1"/>
    <col min="11286" max="11520" width="9.140625" style="67"/>
    <col min="11521" max="11521" width="2.7109375" style="67" bestFit="1" customWidth="1"/>
    <col min="11522" max="11523" width="9.140625" style="67"/>
    <col min="11524" max="11524" width="10" style="67" customWidth="1"/>
    <col min="11525" max="11525" width="13" style="67" customWidth="1"/>
    <col min="11526" max="11526" width="13.85546875" style="67" customWidth="1"/>
    <col min="11527" max="11527" width="13.28515625" style="67" bestFit="1" customWidth="1"/>
    <col min="11528" max="11528" width="15.140625" style="67" customWidth="1"/>
    <col min="11529" max="11529" width="14.7109375" style="67" customWidth="1"/>
    <col min="11530" max="11530" width="13.42578125" style="67" customWidth="1"/>
    <col min="11531" max="11531" width="12.85546875" style="67" bestFit="1" customWidth="1"/>
    <col min="11532" max="11532" width="9.28515625" style="67" bestFit="1" customWidth="1"/>
    <col min="11533" max="11533" width="11.85546875" style="67" bestFit="1" customWidth="1"/>
    <col min="11534" max="11534" width="2.7109375" style="67" bestFit="1" customWidth="1"/>
    <col min="11535" max="11535" width="40.7109375" style="67" bestFit="1" customWidth="1"/>
    <col min="11536" max="11536" width="12.5703125" style="67" customWidth="1"/>
    <col min="11537" max="11537" width="7" style="67" bestFit="1" customWidth="1"/>
    <col min="11538" max="11538" width="11.7109375" style="67" bestFit="1" customWidth="1"/>
    <col min="11539" max="11539" width="12.85546875" style="67" bestFit="1" customWidth="1"/>
    <col min="11540" max="11540" width="11.5703125" style="67" bestFit="1" customWidth="1"/>
    <col min="11541" max="11541" width="12.5703125" style="67" bestFit="1" customWidth="1"/>
    <col min="11542" max="11776" width="9.140625" style="67"/>
    <col min="11777" max="11777" width="2.7109375" style="67" bestFit="1" customWidth="1"/>
    <col min="11778" max="11779" width="9.140625" style="67"/>
    <col min="11780" max="11780" width="10" style="67" customWidth="1"/>
    <col min="11781" max="11781" width="13" style="67" customWidth="1"/>
    <col min="11782" max="11782" width="13.85546875" style="67" customWidth="1"/>
    <col min="11783" max="11783" width="13.28515625" style="67" bestFit="1" customWidth="1"/>
    <col min="11784" max="11784" width="15.140625" style="67" customWidth="1"/>
    <col min="11785" max="11785" width="14.7109375" style="67" customWidth="1"/>
    <col min="11786" max="11786" width="13.42578125" style="67" customWidth="1"/>
    <col min="11787" max="11787" width="12.85546875" style="67" bestFit="1" customWidth="1"/>
    <col min="11788" max="11788" width="9.28515625" style="67" bestFit="1" customWidth="1"/>
    <col min="11789" max="11789" width="11.85546875" style="67" bestFit="1" customWidth="1"/>
    <col min="11790" max="11790" width="2.7109375" style="67" bestFit="1" customWidth="1"/>
    <col min="11791" max="11791" width="40.7109375" style="67" bestFit="1" customWidth="1"/>
    <col min="11792" max="11792" width="12.5703125" style="67" customWidth="1"/>
    <col min="11793" max="11793" width="7" style="67" bestFit="1" customWidth="1"/>
    <col min="11794" max="11794" width="11.7109375" style="67" bestFit="1" customWidth="1"/>
    <col min="11795" max="11795" width="12.85546875" style="67" bestFit="1" customWidth="1"/>
    <col min="11796" max="11796" width="11.5703125" style="67" bestFit="1" customWidth="1"/>
    <col min="11797" max="11797" width="12.5703125" style="67" bestFit="1" customWidth="1"/>
    <col min="11798" max="12032" width="9.140625" style="67"/>
    <col min="12033" max="12033" width="2.7109375" style="67" bestFit="1" customWidth="1"/>
    <col min="12034" max="12035" width="9.140625" style="67"/>
    <col min="12036" max="12036" width="10" style="67" customWidth="1"/>
    <col min="12037" max="12037" width="13" style="67" customWidth="1"/>
    <col min="12038" max="12038" width="13.85546875" style="67" customWidth="1"/>
    <col min="12039" max="12039" width="13.28515625" style="67" bestFit="1" customWidth="1"/>
    <col min="12040" max="12040" width="15.140625" style="67" customWidth="1"/>
    <col min="12041" max="12041" width="14.7109375" style="67" customWidth="1"/>
    <col min="12042" max="12042" width="13.42578125" style="67" customWidth="1"/>
    <col min="12043" max="12043" width="12.85546875" style="67" bestFit="1" customWidth="1"/>
    <col min="12044" max="12044" width="9.28515625" style="67" bestFit="1" customWidth="1"/>
    <col min="12045" max="12045" width="11.85546875" style="67" bestFit="1" customWidth="1"/>
    <col min="12046" max="12046" width="2.7109375" style="67" bestFit="1" customWidth="1"/>
    <col min="12047" max="12047" width="40.7109375" style="67" bestFit="1" customWidth="1"/>
    <col min="12048" max="12048" width="12.5703125" style="67" customWidth="1"/>
    <col min="12049" max="12049" width="7" style="67" bestFit="1" customWidth="1"/>
    <col min="12050" max="12050" width="11.7109375" style="67" bestFit="1" customWidth="1"/>
    <col min="12051" max="12051" width="12.85546875" style="67" bestFit="1" customWidth="1"/>
    <col min="12052" max="12052" width="11.5703125" style="67" bestFit="1" customWidth="1"/>
    <col min="12053" max="12053" width="12.5703125" style="67" bestFit="1" customWidth="1"/>
    <col min="12054" max="12288" width="9.140625" style="67"/>
    <col min="12289" max="12289" width="2.7109375" style="67" bestFit="1" customWidth="1"/>
    <col min="12290" max="12291" width="9.140625" style="67"/>
    <col min="12292" max="12292" width="10" style="67" customWidth="1"/>
    <col min="12293" max="12293" width="13" style="67" customWidth="1"/>
    <col min="12294" max="12294" width="13.85546875" style="67" customWidth="1"/>
    <col min="12295" max="12295" width="13.28515625" style="67" bestFit="1" customWidth="1"/>
    <col min="12296" max="12296" width="15.140625" style="67" customWidth="1"/>
    <col min="12297" max="12297" width="14.7109375" style="67" customWidth="1"/>
    <col min="12298" max="12298" width="13.42578125" style="67" customWidth="1"/>
    <col min="12299" max="12299" width="12.85546875" style="67" bestFit="1" customWidth="1"/>
    <col min="12300" max="12300" width="9.28515625" style="67" bestFit="1" customWidth="1"/>
    <col min="12301" max="12301" width="11.85546875" style="67" bestFit="1" customWidth="1"/>
    <col min="12302" max="12302" width="2.7109375" style="67" bestFit="1" customWidth="1"/>
    <col min="12303" max="12303" width="40.7109375" style="67" bestFit="1" customWidth="1"/>
    <col min="12304" max="12304" width="12.5703125" style="67" customWidth="1"/>
    <col min="12305" max="12305" width="7" style="67" bestFit="1" customWidth="1"/>
    <col min="12306" max="12306" width="11.7109375" style="67" bestFit="1" customWidth="1"/>
    <col min="12307" max="12307" width="12.85546875" style="67" bestFit="1" customWidth="1"/>
    <col min="12308" max="12308" width="11.5703125" style="67" bestFit="1" customWidth="1"/>
    <col min="12309" max="12309" width="12.5703125" style="67" bestFit="1" customWidth="1"/>
    <col min="12310" max="12544" width="9.140625" style="67"/>
    <col min="12545" max="12545" width="2.7109375" style="67" bestFit="1" customWidth="1"/>
    <col min="12546" max="12547" width="9.140625" style="67"/>
    <col min="12548" max="12548" width="10" style="67" customWidth="1"/>
    <col min="12549" max="12549" width="13" style="67" customWidth="1"/>
    <col min="12550" max="12550" width="13.85546875" style="67" customWidth="1"/>
    <col min="12551" max="12551" width="13.28515625" style="67" bestFit="1" customWidth="1"/>
    <col min="12552" max="12552" width="15.140625" style="67" customWidth="1"/>
    <col min="12553" max="12553" width="14.7109375" style="67" customWidth="1"/>
    <col min="12554" max="12554" width="13.42578125" style="67" customWidth="1"/>
    <col min="12555" max="12555" width="12.85546875" style="67" bestFit="1" customWidth="1"/>
    <col min="12556" max="12556" width="9.28515625" style="67" bestFit="1" customWidth="1"/>
    <col min="12557" max="12557" width="11.85546875" style="67" bestFit="1" customWidth="1"/>
    <col min="12558" max="12558" width="2.7109375" style="67" bestFit="1" customWidth="1"/>
    <col min="12559" max="12559" width="40.7109375" style="67" bestFit="1" customWidth="1"/>
    <col min="12560" max="12560" width="12.5703125" style="67" customWidth="1"/>
    <col min="12561" max="12561" width="7" style="67" bestFit="1" customWidth="1"/>
    <col min="12562" max="12562" width="11.7109375" style="67" bestFit="1" customWidth="1"/>
    <col min="12563" max="12563" width="12.85546875" style="67" bestFit="1" customWidth="1"/>
    <col min="12564" max="12564" width="11.5703125" style="67" bestFit="1" customWidth="1"/>
    <col min="12565" max="12565" width="12.5703125" style="67" bestFit="1" customWidth="1"/>
    <col min="12566" max="12800" width="9.140625" style="67"/>
    <col min="12801" max="12801" width="2.7109375" style="67" bestFit="1" customWidth="1"/>
    <col min="12802" max="12803" width="9.140625" style="67"/>
    <col min="12804" max="12804" width="10" style="67" customWidth="1"/>
    <col min="12805" max="12805" width="13" style="67" customWidth="1"/>
    <col min="12806" max="12806" width="13.85546875" style="67" customWidth="1"/>
    <col min="12807" max="12807" width="13.28515625" style="67" bestFit="1" customWidth="1"/>
    <col min="12808" max="12808" width="15.140625" style="67" customWidth="1"/>
    <col min="12809" max="12809" width="14.7109375" style="67" customWidth="1"/>
    <col min="12810" max="12810" width="13.42578125" style="67" customWidth="1"/>
    <col min="12811" max="12811" width="12.85546875" style="67" bestFit="1" customWidth="1"/>
    <col min="12812" max="12812" width="9.28515625" style="67" bestFit="1" customWidth="1"/>
    <col min="12813" max="12813" width="11.85546875" style="67" bestFit="1" customWidth="1"/>
    <col min="12814" max="12814" width="2.7109375" style="67" bestFit="1" customWidth="1"/>
    <col min="12815" max="12815" width="40.7109375" style="67" bestFit="1" customWidth="1"/>
    <col min="12816" max="12816" width="12.5703125" style="67" customWidth="1"/>
    <col min="12817" max="12817" width="7" style="67" bestFit="1" customWidth="1"/>
    <col min="12818" max="12818" width="11.7109375" style="67" bestFit="1" customWidth="1"/>
    <col min="12819" max="12819" width="12.85546875" style="67" bestFit="1" customWidth="1"/>
    <col min="12820" max="12820" width="11.5703125" style="67" bestFit="1" customWidth="1"/>
    <col min="12821" max="12821" width="12.5703125" style="67" bestFit="1" customWidth="1"/>
    <col min="12822" max="13056" width="9.140625" style="67"/>
    <col min="13057" max="13057" width="2.7109375" style="67" bestFit="1" customWidth="1"/>
    <col min="13058" max="13059" width="9.140625" style="67"/>
    <col min="13060" max="13060" width="10" style="67" customWidth="1"/>
    <col min="13061" max="13061" width="13" style="67" customWidth="1"/>
    <col min="13062" max="13062" width="13.85546875" style="67" customWidth="1"/>
    <col min="13063" max="13063" width="13.28515625" style="67" bestFit="1" customWidth="1"/>
    <col min="13064" max="13064" width="15.140625" style="67" customWidth="1"/>
    <col min="13065" max="13065" width="14.7109375" style="67" customWidth="1"/>
    <col min="13066" max="13066" width="13.42578125" style="67" customWidth="1"/>
    <col min="13067" max="13067" width="12.85546875" style="67" bestFit="1" customWidth="1"/>
    <col min="13068" max="13068" width="9.28515625" style="67" bestFit="1" customWidth="1"/>
    <col min="13069" max="13069" width="11.85546875" style="67" bestFit="1" customWidth="1"/>
    <col min="13070" max="13070" width="2.7109375" style="67" bestFit="1" customWidth="1"/>
    <col min="13071" max="13071" width="40.7109375" style="67" bestFit="1" customWidth="1"/>
    <col min="13072" max="13072" width="12.5703125" style="67" customWidth="1"/>
    <col min="13073" max="13073" width="7" style="67" bestFit="1" customWidth="1"/>
    <col min="13074" max="13074" width="11.7109375" style="67" bestFit="1" customWidth="1"/>
    <col min="13075" max="13075" width="12.85546875" style="67" bestFit="1" customWidth="1"/>
    <col min="13076" max="13076" width="11.5703125" style="67" bestFit="1" customWidth="1"/>
    <col min="13077" max="13077" width="12.5703125" style="67" bestFit="1" customWidth="1"/>
    <col min="13078" max="13312" width="9.140625" style="67"/>
    <col min="13313" max="13313" width="2.7109375" style="67" bestFit="1" customWidth="1"/>
    <col min="13314" max="13315" width="9.140625" style="67"/>
    <col min="13316" max="13316" width="10" style="67" customWidth="1"/>
    <col min="13317" max="13317" width="13" style="67" customWidth="1"/>
    <col min="13318" max="13318" width="13.85546875" style="67" customWidth="1"/>
    <col min="13319" max="13319" width="13.28515625" style="67" bestFit="1" customWidth="1"/>
    <col min="13320" max="13320" width="15.140625" style="67" customWidth="1"/>
    <col min="13321" max="13321" width="14.7109375" style="67" customWidth="1"/>
    <col min="13322" max="13322" width="13.42578125" style="67" customWidth="1"/>
    <col min="13323" max="13323" width="12.85546875" style="67" bestFit="1" customWidth="1"/>
    <col min="13324" max="13324" width="9.28515625" style="67" bestFit="1" customWidth="1"/>
    <col min="13325" max="13325" width="11.85546875" style="67" bestFit="1" customWidth="1"/>
    <col min="13326" max="13326" width="2.7109375" style="67" bestFit="1" customWidth="1"/>
    <col min="13327" max="13327" width="40.7109375" style="67" bestFit="1" customWidth="1"/>
    <col min="13328" max="13328" width="12.5703125" style="67" customWidth="1"/>
    <col min="13329" max="13329" width="7" style="67" bestFit="1" customWidth="1"/>
    <col min="13330" max="13330" width="11.7109375" style="67" bestFit="1" customWidth="1"/>
    <col min="13331" max="13331" width="12.85546875" style="67" bestFit="1" customWidth="1"/>
    <col min="13332" max="13332" width="11.5703125" style="67" bestFit="1" customWidth="1"/>
    <col min="13333" max="13333" width="12.5703125" style="67" bestFit="1" customWidth="1"/>
    <col min="13334" max="13568" width="9.140625" style="67"/>
    <col min="13569" max="13569" width="2.7109375" style="67" bestFit="1" customWidth="1"/>
    <col min="13570" max="13571" width="9.140625" style="67"/>
    <col min="13572" max="13572" width="10" style="67" customWidth="1"/>
    <col min="13573" max="13573" width="13" style="67" customWidth="1"/>
    <col min="13574" max="13574" width="13.85546875" style="67" customWidth="1"/>
    <col min="13575" max="13575" width="13.28515625" style="67" bestFit="1" customWidth="1"/>
    <col min="13576" max="13576" width="15.140625" style="67" customWidth="1"/>
    <col min="13577" max="13577" width="14.7109375" style="67" customWidth="1"/>
    <col min="13578" max="13578" width="13.42578125" style="67" customWidth="1"/>
    <col min="13579" max="13579" width="12.85546875" style="67" bestFit="1" customWidth="1"/>
    <col min="13580" max="13580" width="9.28515625" style="67" bestFit="1" customWidth="1"/>
    <col min="13581" max="13581" width="11.85546875" style="67" bestFit="1" customWidth="1"/>
    <col min="13582" max="13582" width="2.7109375" style="67" bestFit="1" customWidth="1"/>
    <col min="13583" max="13583" width="40.7109375" style="67" bestFit="1" customWidth="1"/>
    <col min="13584" max="13584" width="12.5703125" style="67" customWidth="1"/>
    <col min="13585" max="13585" width="7" style="67" bestFit="1" customWidth="1"/>
    <col min="13586" max="13586" width="11.7109375" style="67" bestFit="1" customWidth="1"/>
    <col min="13587" max="13587" width="12.85546875" style="67" bestFit="1" customWidth="1"/>
    <col min="13588" max="13588" width="11.5703125" style="67" bestFit="1" customWidth="1"/>
    <col min="13589" max="13589" width="12.5703125" style="67" bestFit="1" customWidth="1"/>
    <col min="13590" max="13824" width="9.140625" style="67"/>
    <col min="13825" max="13825" width="2.7109375" style="67" bestFit="1" customWidth="1"/>
    <col min="13826" max="13827" width="9.140625" style="67"/>
    <col min="13828" max="13828" width="10" style="67" customWidth="1"/>
    <col min="13829" max="13829" width="13" style="67" customWidth="1"/>
    <col min="13830" max="13830" width="13.85546875" style="67" customWidth="1"/>
    <col min="13831" max="13831" width="13.28515625" style="67" bestFit="1" customWidth="1"/>
    <col min="13832" max="13832" width="15.140625" style="67" customWidth="1"/>
    <col min="13833" max="13833" width="14.7109375" style="67" customWidth="1"/>
    <col min="13834" max="13834" width="13.42578125" style="67" customWidth="1"/>
    <col min="13835" max="13835" width="12.85546875" style="67" bestFit="1" customWidth="1"/>
    <col min="13836" max="13836" width="9.28515625" style="67" bestFit="1" customWidth="1"/>
    <col min="13837" max="13837" width="11.85546875" style="67" bestFit="1" customWidth="1"/>
    <col min="13838" max="13838" width="2.7109375" style="67" bestFit="1" customWidth="1"/>
    <col min="13839" max="13839" width="40.7109375" style="67" bestFit="1" customWidth="1"/>
    <col min="13840" max="13840" width="12.5703125" style="67" customWidth="1"/>
    <col min="13841" max="13841" width="7" style="67" bestFit="1" customWidth="1"/>
    <col min="13842" max="13842" width="11.7109375" style="67" bestFit="1" customWidth="1"/>
    <col min="13843" max="13843" width="12.85546875" style="67" bestFit="1" customWidth="1"/>
    <col min="13844" max="13844" width="11.5703125" style="67" bestFit="1" customWidth="1"/>
    <col min="13845" max="13845" width="12.5703125" style="67" bestFit="1" customWidth="1"/>
    <col min="13846" max="14080" width="9.140625" style="67"/>
    <col min="14081" max="14081" width="2.7109375" style="67" bestFit="1" customWidth="1"/>
    <col min="14082" max="14083" width="9.140625" style="67"/>
    <col min="14084" max="14084" width="10" style="67" customWidth="1"/>
    <col min="14085" max="14085" width="13" style="67" customWidth="1"/>
    <col min="14086" max="14086" width="13.85546875" style="67" customWidth="1"/>
    <col min="14087" max="14087" width="13.28515625" style="67" bestFit="1" customWidth="1"/>
    <col min="14088" max="14088" width="15.140625" style="67" customWidth="1"/>
    <col min="14089" max="14089" width="14.7109375" style="67" customWidth="1"/>
    <col min="14090" max="14090" width="13.42578125" style="67" customWidth="1"/>
    <col min="14091" max="14091" width="12.85546875" style="67" bestFit="1" customWidth="1"/>
    <col min="14092" max="14092" width="9.28515625" style="67" bestFit="1" customWidth="1"/>
    <col min="14093" max="14093" width="11.85546875" style="67" bestFit="1" customWidth="1"/>
    <col min="14094" max="14094" width="2.7109375" style="67" bestFit="1" customWidth="1"/>
    <col min="14095" max="14095" width="40.7109375" style="67" bestFit="1" customWidth="1"/>
    <col min="14096" max="14096" width="12.5703125" style="67" customWidth="1"/>
    <col min="14097" max="14097" width="7" style="67" bestFit="1" customWidth="1"/>
    <col min="14098" max="14098" width="11.7109375" style="67" bestFit="1" customWidth="1"/>
    <col min="14099" max="14099" width="12.85546875" style="67" bestFit="1" customWidth="1"/>
    <col min="14100" max="14100" width="11.5703125" style="67" bestFit="1" customWidth="1"/>
    <col min="14101" max="14101" width="12.5703125" style="67" bestFit="1" customWidth="1"/>
    <col min="14102" max="14336" width="9.140625" style="67"/>
    <col min="14337" max="14337" width="2.7109375" style="67" bestFit="1" customWidth="1"/>
    <col min="14338" max="14339" width="9.140625" style="67"/>
    <col min="14340" max="14340" width="10" style="67" customWidth="1"/>
    <col min="14341" max="14341" width="13" style="67" customWidth="1"/>
    <col min="14342" max="14342" width="13.85546875" style="67" customWidth="1"/>
    <col min="14343" max="14343" width="13.28515625" style="67" bestFit="1" customWidth="1"/>
    <col min="14344" max="14344" width="15.140625" style="67" customWidth="1"/>
    <col min="14345" max="14345" width="14.7109375" style="67" customWidth="1"/>
    <col min="14346" max="14346" width="13.42578125" style="67" customWidth="1"/>
    <col min="14347" max="14347" width="12.85546875" style="67" bestFit="1" customWidth="1"/>
    <col min="14348" max="14348" width="9.28515625" style="67" bestFit="1" customWidth="1"/>
    <col min="14349" max="14349" width="11.85546875" style="67" bestFit="1" customWidth="1"/>
    <col min="14350" max="14350" width="2.7109375" style="67" bestFit="1" customWidth="1"/>
    <col min="14351" max="14351" width="40.7109375" style="67" bestFit="1" customWidth="1"/>
    <col min="14352" max="14352" width="12.5703125" style="67" customWidth="1"/>
    <col min="14353" max="14353" width="7" style="67" bestFit="1" customWidth="1"/>
    <col min="14354" max="14354" width="11.7109375" style="67" bestFit="1" customWidth="1"/>
    <col min="14355" max="14355" width="12.85546875" style="67" bestFit="1" customWidth="1"/>
    <col min="14356" max="14356" width="11.5703125" style="67" bestFit="1" customWidth="1"/>
    <col min="14357" max="14357" width="12.5703125" style="67" bestFit="1" customWidth="1"/>
    <col min="14358" max="14592" width="9.140625" style="67"/>
    <col min="14593" max="14593" width="2.7109375" style="67" bestFit="1" customWidth="1"/>
    <col min="14594" max="14595" width="9.140625" style="67"/>
    <col min="14596" max="14596" width="10" style="67" customWidth="1"/>
    <col min="14597" max="14597" width="13" style="67" customWidth="1"/>
    <col min="14598" max="14598" width="13.85546875" style="67" customWidth="1"/>
    <col min="14599" max="14599" width="13.28515625" style="67" bestFit="1" customWidth="1"/>
    <col min="14600" max="14600" width="15.140625" style="67" customWidth="1"/>
    <col min="14601" max="14601" width="14.7109375" style="67" customWidth="1"/>
    <col min="14602" max="14602" width="13.42578125" style="67" customWidth="1"/>
    <col min="14603" max="14603" width="12.85546875" style="67" bestFit="1" customWidth="1"/>
    <col min="14604" max="14604" width="9.28515625" style="67" bestFit="1" customWidth="1"/>
    <col min="14605" max="14605" width="11.85546875" style="67" bestFit="1" customWidth="1"/>
    <col min="14606" max="14606" width="2.7109375" style="67" bestFit="1" customWidth="1"/>
    <col min="14607" max="14607" width="40.7109375" style="67" bestFit="1" customWidth="1"/>
    <col min="14608" max="14608" width="12.5703125" style="67" customWidth="1"/>
    <col min="14609" max="14609" width="7" style="67" bestFit="1" customWidth="1"/>
    <col min="14610" max="14610" width="11.7109375" style="67" bestFit="1" customWidth="1"/>
    <col min="14611" max="14611" width="12.85546875" style="67" bestFit="1" customWidth="1"/>
    <col min="14612" max="14612" width="11.5703125" style="67" bestFit="1" customWidth="1"/>
    <col min="14613" max="14613" width="12.5703125" style="67" bestFit="1" customWidth="1"/>
    <col min="14614" max="14848" width="9.140625" style="67"/>
    <col min="14849" max="14849" width="2.7109375" style="67" bestFit="1" customWidth="1"/>
    <col min="14850" max="14851" width="9.140625" style="67"/>
    <col min="14852" max="14852" width="10" style="67" customWidth="1"/>
    <col min="14853" max="14853" width="13" style="67" customWidth="1"/>
    <col min="14854" max="14854" width="13.85546875" style="67" customWidth="1"/>
    <col min="14855" max="14855" width="13.28515625" style="67" bestFit="1" customWidth="1"/>
    <col min="14856" max="14856" width="15.140625" style="67" customWidth="1"/>
    <col min="14857" max="14857" width="14.7109375" style="67" customWidth="1"/>
    <col min="14858" max="14858" width="13.42578125" style="67" customWidth="1"/>
    <col min="14859" max="14859" width="12.85546875" style="67" bestFit="1" customWidth="1"/>
    <col min="14860" max="14860" width="9.28515625" style="67" bestFit="1" customWidth="1"/>
    <col min="14861" max="14861" width="11.85546875" style="67" bestFit="1" customWidth="1"/>
    <col min="14862" max="14862" width="2.7109375" style="67" bestFit="1" customWidth="1"/>
    <col min="14863" max="14863" width="40.7109375" style="67" bestFit="1" customWidth="1"/>
    <col min="14864" max="14864" width="12.5703125" style="67" customWidth="1"/>
    <col min="14865" max="14865" width="7" style="67" bestFit="1" customWidth="1"/>
    <col min="14866" max="14866" width="11.7109375" style="67" bestFit="1" customWidth="1"/>
    <col min="14867" max="14867" width="12.85546875" style="67" bestFit="1" customWidth="1"/>
    <col min="14868" max="14868" width="11.5703125" style="67" bestFit="1" customWidth="1"/>
    <col min="14869" max="14869" width="12.5703125" style="67" bestFit="1" customWidth="1"/>
    <col min="14870" max="15104" width="9.140625" style="67"/>
    <col min="15105" max="15105" width="2.7109375" style="67" bestFit="1" customWidth="1"/>
    <col min="15106" max="15107" width="9.140625" style="67"/>
    <col min="15108" max="15108" width="10" style="67" customWidth="1"/>
    <col min="15109" max="15109" width="13" style="67" customWidth="1"/>
    <col min="15110" max="15110" width="13.85546875" style="67" customWidth="1"/>
    <col min="15111" max="15111" width="13.28515625" style="67" bestFit="1" customWidth="1"/>
    <col min="15112" max="15112" width="15.140625" style="67" customWidth="1"/>
    <col min="15113" max="15113" width="14.7109375" style="67" customWidth="1"/>
    <col min="15114" max="15114" width="13.42578125" style="67" customWidth="1"/>
    <col min="15115" max="15115" width="12.85546875" style="67" bestFit="1" customWidth="1"/>
    <col min="15116" max="15116" width="9.28515625" style="67" bestFit="1" customWidth="1"/>
    <col min="15117" max="15117" width="11.85546875" style="67" bestFit="1" customWidth="1"/>
    <col min="15118" max="15118" width="2.7109375" style="67" bestFit="1" customWidth="1"/>
    <col min="15119" max="15119" width="40.7109375" style="67" bestFit="1" customWidth="1"/>
    <col min="15120" max="15120" width="12.5703125" style="67" customWidth="1"/>
    <col min="15121" max="15121" width="7" style="67" bestFit="1" customWidth="1"/>
    <col min="15122" max="15122" width="11.7109375" style="67" bestFit="1" customWidth="1"/>
    <col min="15123" max="15123" width="12.85546875" style="67" bestFit="1" customWidth="1"/>
    <col min="15124" max="15124" width="11.5703125" style="67" bestFit="1" customWidth="1"/>
    <col min="15125" max="15125" width="12.5703125" style="67" bestFit="1" customWidth="1"/>
    <col min="15126" max="15360" width="9.140625" style="67"/>
    <col min="15361" max="15361" width="2.7109375" style="67" bestFit="1" customWidth="1"/>
    <col min="15362" max="15363" width="9.140625" style="67"/>
    <col min="15364" max="15364" width="10" style="67" customWidth="1"/>
    <col min="15365" max="15365" width="13" style="67" customWidth="1"/>
    <col min="15366" max="15366" width="13.85546875" style="67" customWidth="1"/>
    <col min="15367" max="15367" width="13.28515625" style="67" bestFit="1" customWidth="1"/>
    <col min="15368" max="15368" width="15.140625" style="67" customWidth="1"/>
    <col min="15369" max="15369" width="14.7109375" style="67" customWidth="1"/>
    <col min="15370" max="15370" width="13.42578125" style="67" customWidth="1"/>
    <col min="15371" max="15371" width="12.85546875" style="67" bestFit="1" customWidth="1"/>
    <col min="15372" max="15372" width="9.28515625" style="67" bestFit="1" customWidth="1"/>
    <col min="15373" max="15373" width="11.85546875" style="67" bestFit="1" customWidth="1"/>
    <col min="15374" max="15374" width="2.7109375" style="67" bestFit="1" customWidth="1"/>
    <col min="15375" max="15375" width="40.7109375" style="67" bestFit="1" customWidth="1"/>
    <col min="15376" max="15376" width="12.5703125" style="67" customWidth="1"/>
    <col min="15377" max="15377" width="7" style="67" bestFit="1" customWidth="1"/>
    <col min="15378" max="15378" width="11.7109375" style="67" bestFit="1" customWidth="1"/>
    <col min="15379" max="15379" width="12.85546875" style="67" bestFit="1" customWidth="1"/>
    <col min="15380" max="15380" width="11.5703125" style="67" bestFit="1" customWidth="1"/>
    <col min="15381" max="15381" width="12.5703125" style="67" bestFit="1" customWidth="1"/>
    <col min="15382" max="15616" width="9.140625" style="67"/>
    <col min="15617" max="15617" width="2.7109375" style="67" bestFit="1" customWidth="1"/>
    <col min="15618" max="15619" width="9.140625" style="67"/>
    <col min="15620" max="15620" width="10" style="67" customWidth="1"/>
    <col min="15621" max="15621" width="13" style="67" customWidth="1"/>
    <col min="15622" max="15622" width="13.85546875" style="67" customWidth="1"/>
    <col min="15623" max="15623" width="13.28515625" style="67" bestFit="1" customWidth="1"/>
    <col min="15624" max="15624" width="15.140625" style="67" customWidth="1"/>
    <col min="15625" max="15625" width="14.7109375" style="67" customWidth="1"/>
    <col min="15626" max="15626" width="13.42578125" style="67" customWidth="1"/>
    <col min="15627" max="15627" width="12.85546875" style="67" bestFit="1" customWidth="1"/>
    <col min="15628" max="15628" width="9.28515625" style="67" bestFit="1" customWidth="1"/>
    <col min="15629" max="15629" width="11.85546875" style="67" bestFit="1" customWidth="1"/>
    <col min="15630" max="15630" width="2.7109375" style="67" bestFit="1" customWidth="1"/>
    <col min="15631" max="15631" width="40.7109375" style="67" bestFit="1" customWidth="1"/>
    <col min="15632" max="15632" width="12.5703125" style="67" customWidth="1"/>
    <col min="15633" max="15633" width="7" style="67" bestFit="1" customWidth="1"/>
    <col min="15634" max="15634" width="11.7109375" style="67" bestFit="1" customWidth="1"/>
    <col min="15635" max="15635" width="12.85546875" style="67" bestFit="1" customWidth="1"/>
    <col min="15636" max="15636" width="11.5703125" style="67" bestFit="1" customWidth="1"/>
    <col min="15637" max="15637" width="12.5703125" style="67" bestFit="1" customWidth="1"/>
    <col min="15638" max="15872" width="9.140625" style="67"/>
    <col min="15873" max="15873" width="2.7109375" style="67" bestFit="1" customWidth="1"/>
    <col min="15874" max="15875" width="9.140625" style="67"/>
    <col min="15876" max="15876" width="10" style="67" customWidth="1"/>
    <col min="15877" max="15877" width="13" style="67" customWidth="1"/>
    <col min="15878" max="15878" width="13.85546875" style="67" customWidth="1"/>
    <col min="15879" max="15879" width="13.28515625" style="67" bestFit="1" customWidth="1"/>
    <col min="15880" max="15880" width="15.140625" style="67" customWidth="1"/>
    <col min="15881" max="15881" width="14.7109375" style="67" customWidth="1"/>
    <col min="15882" max="15882" width="13.42578125" style="67" customWidth="1"/>
    <col min="15883" max="15883" width="12.85546875" style="67" bestFit="1" customWidth="1"/>
    <col min="15884" max="15884" width="9.28515625" style="67" bestFit="1" customWidth="1"/>
    <col min="15885" max="15885" width="11.85546875" style="67" bestFit="1" customWidth="1"/>
    <col min="15886" max="15886" width="2.7109375" style="67" bestFit="1" customWidth="1"/>
    <col min="15887" max="15887" width="40.7109375" style="67" bestFit="1" customWidth="1"/>
    <col min="15888" max="15888" width="12.5703125" style="67" customWidth="1"/>
    <col min="15889" max="15889" width="7" style="67" bestFit="1" customWidth="1"/>
    <col min="15890" max="15890" width="11.7109375" style="67" bestFit="1" customWidth="1"/>
    <col min="15891" max="15891" width="12.85546875" style="67" bestFit="1" customWidth="1"/>
    <col min="15892" max="15892" width="11.5703125" style="67" bestFit="1" customWidth="1"/>
    <col min="15893" max="15893" width="12.5703125" style="67" bestFit="1" customWidth="1"/>
    <col min="15894" max="16128" width="9.140625" style="67"/>
    <col min="16129" max="16129" width="2.7109375" style="67" bestFit="1" customWidth="1"/>
    <col min="16130" max="16131" width="9.140625" style="67"/>
    <col min="16132" max="16132" width="10" style="67" customWidth="1"/>
    <col min="16133" max="16133" width="13" style="67" customWidth="1"/>
    <col min="16134" max="16134" width="13.85546875" style="67" customWidth="1"/>
    <col min="16135" max="16135" width="13.28515625" style="67" bestFit="1" customWidth="1"/>
    <col min="16136" max="16136" width="15.140625" style="67" customWidth="1"/>
    <col min="16137" max="16137" width="14.7109375" style="67" customWidth="1"/>
    <col min="16138" max="16138" width="13.42578125" style="67" customWidth="1"/>
    <col min="16139" max="16139" width="12.85546875" style="67" bestFit="1" customWidth="1"/>
    <col min="16140" max="16140" width="9.28515625" style="67" bestFit="1" customWidth="1"/>
    <col min="16141" max="16141" width="11.85546875" style="67" bestFit="1" customWidth="1"/>
    <col min="16142" max="16142" width="2.7109375" style="67" bestFit="1" customWidth="1"/>
    <col min="16143" max="16143" width="40.7109375" style="67" bestFit="1" customWidth="1"/>
    <col min="16144" max="16144" width="12.5703125" style="67" customWidth="1"/>
    <col min="16145" max="16145" width="7" style="67" bestFit="1" customWidth="1"/>
    <col min="16146" max="16146" width="11.7109375" style="67" bestFit="1" customWidth="1"/>
    <col min="16147" max="16147" width="12.85546875" style="67" bestFit="1" customWidth="1"/>
    <col min="16148" max="16148" width="11.5703125" style="67" bestFit="1" customWidth="1"/>
    <col min="16149" max="16149" width="12.5703125" style="67" bestFit="1" customWidth="1"/>
    <col min="16150" max="16384" width="9.140625" style="67"/>
  </cols>
  <sheetData>
    <row r="1" spans="1:21">
      <c r="D1" s="67" t="s">
        <v>428</v>
      </c>
      <c r="F1" s="153"/>
      <c r="G1" s="288"/>
    </row>
    <row r="2" spans="1:21">
      <c r="B2" s="222" t="s">
        <v>429</v>
      </c>
      <c r="C2" s="288" t="s">
        <v>430</v>
      </c>
      <c r="D2" s="153"/>
      <c r="E2" s="153" t="s">
        <v>431</v>
      </c>
    </row>
    <row r="3" spans="1:21" s="125" customFormat="1" ht="8.25"/>
    <row r="4" spans="1:21">
      <c r="D4" s="67" t="s">
        <v>432</v>
      </c>
    </row>
    <row r="5" spans="1:21" s="125" customFormat="1" ht="8.25"/>
    <row r="6" spans="1:21">
      <c r="D6" s="67" t="s">
        <v>433</v>
      </c>
      <c r="R6" s="125"/>
      <c r="S6" s="125"/>
      <c r="T6" s="125"/>
      <c r="U6" s="125"/>
    </row>
    <row r="7" spans="1:21">
      <c r="F7" s="289" t="s">
        <v>434</v>
      </c>
      <c r="G7" s="289"/>
      <c r="H7" s="289"/>
      <c r="I7" s="289" t="s">
        <v>435</v>
      </c>
      <c r="R7" s="125"/>
      <c r="S7" s="125"/>
      <c r="T7" s="125"/>
      <c r="U7" s="125"/>
    </row>
    <row r="8" spans="1:21" s="202" customFormat="1" ht="12.75" customHeight="1">
      <c r="A8" s="806" t="s">
        <v>436</v>
      </c>
      <c r="B8" s="807"/>
      <c r="C8" s="807"/>
      <c r="D8" s="290" t="s">
        <v>437</v>
      </c>
      <c r="E8" s="291"/>
      <c r="F8" s="292" t="s">
        <v>438</v>
      </c>
      <c r="G8" s="156" t="s">
        <v>439</v>
      </c>
      <c r="H8" s="292" t="s">
        <v>440</v>
      </c>
      <c r="I8" s="293" t="s">
        <v>441</v>
      </c>
      <c r="J8" s="292" t="s">
        <v>442</v>
      </c>
      <c r="K8" s="291" t="s">
        <v>443</v>
      </c>
      <c r="L8" s="294" t="s">
        <v>444</v>
      </c>
      <c r="R8" s="125"/>
      <c r="S8" s="125"/>
      <c r="T8" s="125"/>
      <c r="U8" s="125"/>
    </row>
    <row r="9" spans="1:21" s="202" customFormat="1" ht="12.75" customHeight="1">
      <c r="A9" s="808" t="s">
        <v>445</v>
      </c>
      <c r="B9" s="809"/>
      <c r="C9" s="809"/>
      <c r="E9" s="295" t="s">
        <v>1284</v>
      </c>
      <c r="F9" s="296" t="s">
        <v>446</v>
      </c>
      <c r="G9" s="297" t="s">
        <v>447</v>
      </c>
      <c r="H9" s="296" t="s">
        <v>448</v>
      </c>
      <c r="I9" s="297" t="s">
        <v>449</v>
      </c>
      <c r="J9" s="296" t="s">
        <v>336</v>
      </c>
      <c r="K9" s="298" t="s">
        <v>450</v>
      </c>
      <c r="L9" s="299" t="s">
        <v>451</v>
      </c>
      <c r="R9" s="125"/>
      <c r="S9" s="125"/>
      <c r="T9" s="125"/>
      <c r="U9" s="125"/>
    </row>
    <row r="10" spans="1:21" s="304" customFormat="1">
      <c r="A10" s="81" t="s">
        <v>452</v>
      </c>
      <c r="B10" s="300" t="s">
        <v>453</v>
      </c>
      <c r="C10" s="301"/>
      <c r="D10" s="301"/>
      <c r="E10" s="301"/>
      <c r="F10" s="300" t="s">
        <v>454</v>
      </c>
      <c r="G10" s="302" t="s">
        <v>455</v>
      </c>
      <c r="H10" s="301" t="s">
        <v>456</v>
      </c>
      <c r="I10" s="302" t="s">
        <v>457</v>
      </c>
      <c r="J10" s="303" t="s">
        <v>458</v>
      </c>
      <c r="K10" s="303" t="s">
        <v>459</v>
      </c>
      <c r="L10" s="303" t="s">
        <v>460</v>
      </c>
      <c r="R10" s="125"/>
      <c r="S10" s="125"/>
      <c r="T10" s="125"/>
      <c r="U10" s="125"/>
    </row>
    <row r="11" spans="1:21">
      <c r="A11" s="305">
        <v>1</v>
      </c>
      <c r="B11" s="306" t="s">
        <v>461</v>
      </c>
      <c r="C11" s="307"/>
      <c r="D11" s="307"/>
      <c r="E11" s="308"/>
      <c r="F11" s="309">
        <f>SUM(SUM(Cronogra!S4:X4))</f>
        <v>2094499.9999999998</v>
      </c>
      <c r="G11" s="310">
        <f>Cronogra!AE24</f>
        <v>1668806.69</v>
      </c>
      <c r="H11" s="311"/>
      <c r="I11" s="310">
        <v>4189000</v>
      </c>
      <c r="J11" s="312">
        <f t="shared" ref="J11:J26" si="0">F11-G11</f>
        <v>425693.30999999982</v>
      </c>
      <c r="K11" s="313">
        <f t="shared" ref="K11:K26" si="1">(J11/F11)*100</f>
        <v>20.324340415373591</v>
      </c>
      <c r="L11" s="313">
        <f>(G11/$G$27)*100</f>
        <v>2.6691621007968687</v>
      </c>
      <c r="O11" s="314"/>
      <c r="R11" s="125"/>
      <c r="S11" s="125"/>
      <c r="T11" s="125"/>
      <c r="U11" s="125"/>
    </row>
    <row r="12" spans="1:21">
      <c r="A12" s="305">
        <v>2</v>
      </c>
      <c r="B12" s="315" t="s">
        <v>462</v>
      </c>
      <c r="C12" s="316"/>
      <c r="D12" s="316"/>
      <c r="E12" s="317"/>
      <c r="F12" s="309">
        <f>SUM(SUM(Cronogra!S5:X5))</f>
        <v>1125638.6513830146</v>
      </c>
      <c r="G12" s="318">
        <f>Cronogra!AE25</f>
        <v>1032379.3100000002</v>
      </c>
      <c r="H12" s="311"/>
      <c r="I12" s="318">
        <v>2311581.4500000002</v>
      </c>
      <c r="J12" s="312">
        <f t="shared" si="0"/>
        <v>93259.341383014456</v>
      </c>
      <c r="K12" s="313">
        <f t="shared" si="1"/>
        <v>8.285015912382848</v>
      </c>
      <c r="L12" s="313">
        <f t="shared" ref="L12:L26" si="2">(G12/$G$27)*100</f>
        <v>1.6512324311804036</v>
      </c>
      <c r="O12" s="314"/>
      <c r="R12" s="125"/>
      <c r="S12" s="125"/>
      <c r="T12" s="125"/>
      <c r="U12" s="125"/>
    </row>
    <row r="13" spans="1:21">
      <c r="A13" s="305">
        <v>3</v>
      </c>
      <c r="B13" s="315" t="s">
        <v>463</v>
      </c>
      <c r="C13" s="316"/>
      <c r="D13" s="316"/>
      <c r="E13" s="317"/>
      <c r="F13" s="309">
        <f>SUM(SUM(Cronogra!S6:X6))</f>
        <v>612081.71959174727</v>
      </c>
      <c r="G13" s="318">
        <f>Cronogra!AE26</f>
        <v>340054.54000000004</v>
      </c>
      <c r="H13" s="311"/>
      <c r="I13" s="318">
        <v>1251892.3</v>
      </c>
      <c r="J13" s="312">
        <f t="shared" si="0"/>
        <v>272027.17959174723</v>
      </c>
      <c r="K13" s="313">
        <f t="shared" si="1"/>
        <v>44.442951142730877</v>
      </c>
      <c r="L13" s="313">
        <f t="shared" si="2"/>
        <v>0.54389804152325938</v>
      </c>
      <c r="O13" s="314"/>
      <c r="R13" s="125"/>
      <c r="S13" s="125"/>
      <c r="T13" s="125"/>
      <c r="U13" s="125"/>
    </row>
    <row r="14" spans="1:21">
      <c r="A14" s="305">
        <v>4</v>
      </c>
      <c r="B14" s="315" t="s">
        <v>464</v>
      </c>
      <c r="C14" s="316"/>
      <c r="D14" s="316"/>
      <c r="E14" s="317"/>
      <c r="F14" s="309">
        <f>SUM(SUM(Cronogra!S7:X7))</f>
        <v>887875.33234214247</v>
      </c>
      <c r="G14" s="318">
        <f>Cronogra!AE27</f>
        <v>784533.97</v>
      </c>
      <c r="H14" s="311"/>
      <c r="I14" s="318">
        <v>1831204.8</v>
      </c>
      <c r="J14" s="312">
        <f t="shared" si="0"/>
        <v>103341.3623421425</v>
      </c>
      <c r="K14" s="313">
        <f t="shared" si="1"/>
        <v>11.639174845587437</v>
      </c>
      <c r="L14" s="313">
        <f t="shared" si="2"/>
        <v>1.2548178000842671</v>
      </c>
      <c r="R14" s="125"/>
      <c r="S14" s="125"/>
      <c r="T14" s="125"/>
      <c r="U14" s="125"/>
    </row>
    <row r="15" spans="1:21">
      <c r="A15" s="305">
        <v>5</v>
      </c>
      <c r="B15" s="315" t="s">
        <v>465</v>
      </c>
      <c r="C15" s="316"/>
      <c r="D15" s="316"/>
      <c r="E15" s="317"/>
      <c r="F15" s="309">
        <f>SUM(SUM(Cronogra!S8:X8))</f>
        <v>3757831.1609435314</v>
      </c>
      <c r="G15" s="318">
        <f>Cronogra!AE28</f>
        <v>3998623.7299999995</v>
      </c>
      <c r="H15" s="311"/>
      <c r="I15" s="318">
        <v>8078865.6299999999</v>
      </c>
      <c r="J15" s="312">
        <f t="shared" si="0"/>
        <v>-240792.56905646808</v>
      </c>
      <c r="K15" s="313">
        <f t="shared" si="1"/>
        <v>-6.4077538011582433</v>
      </c>
      <c r="L15" s="313">
        <f t="shared" si="2"/>
        <v>6.3955729440795857</v>
      </c>
    </row>
    <row r="16" spans="1:21">
      <c r="A16" s="305">
        <v>6</v>
      </c>
      <c r="B16" s="315" t="s">
        <v>466</v>
      </c>
      <c r="C16" s="316"/>
      <c r="D16" s="316"/>
      <c r="E16" s="317"/>
      <c r="F16" s="309">
        <f>SUM(SUM(Cronogra!S9:X9))</f>
        <v>1720060.9444276858</v>
      </c>
      <c r="G16" s="318">
        <f>Cronogra!AE29</f>
        <v>1541788.35</v>
      </c>
      <c r="H16" s="311">
        <f>52151146.73</f>
        <v>52151146.729999997</v>
      </c>
      <c r="I16" s="318">
        <v>3547551.94</v>
      </c>
      <c r="J16" s="312">
        <f t="shared" si="0"/>
        <v>178272.59442768572</v>
      </c>
      <c r="K16" s="313">
        <f t="shared" si="1"/>
        <v>10.364318485645413</v>
      </c>
      <c r="L16" s="313">
        <f t="shared" si="2"/>
        <v>2.4660034358264338</v>
      </c>
      <c r="O16" s="314"/>
      <c r="S16" s="314"/>
      <c r="T16" s="223"/>
      <c r="U16" s="314"/>
    </row>
    <row r="17" spans="1:18">
      <c r="A17" s="305">
        <v>7</v>
      </c>
      <c r="B17" s="315" t="s">
        <v>467</v>
      </c>
      <c r="C17" s="316"/>
      <c r="D17" s="316"/>
      <c r="E17" s="317"/>
      <c r="F17" s="309">
        <f>SUM(SUM(Cronogra!S10:X10))</f>
        <v>595908.67061427748</v>
      </c>
      <c r="G17" s="318">
        <f>Cronogra!AE30</f>
        <v>344689.66000000003</v>
      </c>
      <c r="H17" s="311"/>
      <c r="I17" s="318">
        <v>1207536.08</v>
      </c>
      <c r="J17" s="312">
        <f t="shared" si="0"/>
        <v>251219.01061427745</v>
      </c>
      <c r="K17" s="313">
        <f t="shared" si="1"/>
        <v>42.157300774851059</v>
      </c>
      <c r="L17" s="313">
        <f t="shared" si="2"/>
        <v>0.55131165432262164</v>
      </c>
      <c r="O17" s="314"/>
    </row>
    <row r="18" spans="1:18">
      <c r="A18" s="305">
        <v>8</v>
      </c>
      <c r="B18" s="315" t="s">
        <v>468</v>
      </c>
      <c r="C18" s="316"/>
      <c r="D18" s="316"/>
      <c r="E18" s="317"/>
      <c r="F18" s="309">
        <f>SUM(SUM(Cronogra!S11:X11))</f>
        <v>6048981.1811790448</v>
      </c>
      <c r="G18" s="318">
        <f>Cronogra!AE31</f>
        <v>5039977.96</v>
      </c>
      <c r="H18" s="311"/>
      <c r="I18" s="318">
        <v>12448467.25</v>
      </c>
      <c r="J18" s="312">
        <f t="shared" si="0"/>
        <v>1009003.2211790448</v>
      </c>
      <c r="K18" s="313">
        <f t="shared" si="1"/>
        <v>16.680548194107189</v>
      </c>
      <c r="L18" s="313">
        <f t="shared" si="2"/>
        <v>8.0611602531887723</v>
      </c>
      <c r="O18" s="314"/>
      <c r="P18" s="319"/>
    </row>
    <row r="19" spans="1:18">
      <c r="A19" s="305">
        <v>9</v>
      </c>
      <c r="B19" s="315" t="s">
        <v>469</v>
      </c>
      <c r="C19" s="316"/>
      <c r="D19" s="316"/>
      <c r="E19" s="317"/>
      <c r="F19" s="309">
        <f>SUM(SUM(Cronogra!S12:X12))</f>
        <v>18892274.428633604</v>
      </c>
      <c r="G19" s="318">
        <f>Cronogra!AE32</f>
        <v>15749149.650000002</v>
      </c>
      <c r="H19" s="311"/>
      <c r="I19" s="318">
        <v>42368245.270000003</v>
      </c>
      <c r="J19" s="312">
        <f t="shared" si="0"/>
        <v>3143124.778633602</v>
      </c>
      <c r="K19" s="313">
        <f t="shared" si="1"/>
        <v>16.637090417603734</v>
      </c>
      <c r="L19" s="313">
        <f>(G19/$G$27)*100</f>
        <v>25.189875866064675</v>
      </c>
      <c r="O19" s="314"/>
    </row>
    <row r="20" spans="1:18">
      <c r="A20" s="305">
        <v>10</v>
      </c>
      <c r="B20" s="315" t="s">
        <v>470</v>
      </c>
      <c r="C20" s="316"/>
      <c r="D20" s="316"/>
      <c r="E20" s="317"/>
      <c r="F20" s="309">
        <f>SUM(SUM(Cronogra!S13:X13))</f>
        <v>13195835.423139667</v>
      </c>
      <c r="G20" s="318">
        <f>Cronogra!AE33</f>
        <v>13971037.07</v>
      </c>
      <c r="H20" s="311"/>
      <c r="I20" s="318">
        <v>29327281.219999999</v>
      </c>
      <c r="J20" s="312">
        <f t="shared" si="0"/>
        <v>-775201.64686033316</v>
      </c>
      <c r="K20" s="313">
        <f t="shared" si="1"/>
        <v>-5.8745931727897407</v>
      </c>
      <c r="L20" s="313">
        <f>(G20/$G$27)*100</f>
        <v>22.345885164249989</v>
      </c>
    </row>
    <row r="21" spans="1:18">
      <c r="A21" s="305">
        <v>11</v>
      </c>
      <c r="B21" s="315" t="s">
        <v>471</v>
      </c>
      <c r="C21" s="316"/>
      <c r="D21" s="316"/>
      <c r="E21" s="317"/>
      <c r="F21" s="309">
        <f>SUM(SUM(Cronogra!S14:X14))</f>
        <v>2021890.2839355227</v>
      </c>
      <c r="G21" s="318">
        <f>Cronogra!AE34</f>
        <v>1809680.29</v>
      </c>
      <c r="H21" s="311"/>
      <c r="I21" s="318">
        <v>4494711.5599999996</v>
      </c>
      <c r="J21" s="312">
        <f t="shared" si="0"/>
        <v>212209.99393552262</v>
      </c>
      <c r="K21" s="313">
        <f t="shared" si="1"/>
        <v>10.495623606364287</v>
      </c>
      <c r="L21" s="313">
        <f t="shared" si="2"/>
        <v>2.8944814720434078</v>
      </c>
    </row>
    <row r="22" spans="1:18">
      <c r="A22" s="305">
        <v>12</v>
      </c>
      <c r="B22" s="315" t="s">
        <v>472</v>
      </c>
      <c r="C22" s="316"/>
      <c r="D22" s="316"/>
      <c r="E22" s="317"/>
      <c r="F22" s="309">
        <f>SUM(SUM(Cronogra!S15:X15))</f>
        <v>877911.94943813002</v>
      </c>
      <c r="G22" s="318">
        <f>Cronogra!AE35</f>
        <v>679523.72</v>
      </c>
      <c r="H22" s="311"/>
      <c r="I22" s="318">
        <v>2313005.75</v>
      </c>
      <c r="J22" s="312">
        <f t="shared" si="0"/>
        <v>198388.22943813005</v>
      </c>
      <c r="K22" s="313">
        <f t="shared" si="1"/>
        <v>22.597736545800515</v>
      </c>
      <c r="L22" s="313">
        <f t="shared" si="2"/>
        <v>1.0868598327685894</v>
      </c>
      <c r="O22" s="314"/>
    </row>
    <row r="23" spans="1:18">
      <c r="A23" s="305">
        <v>13</v>
      </c>
      <c r="B23" s="315" t="s">
        <v>473</v>
      </c>
      <c r="C23" s="316"/>
      <c r="D23" s="316"/>
      <c r="E23" s="317"/>
      <c r="F23" s="309">
        <f>SUM(SUM(Cronogra!S16:X16))</f>
        <v>1459387.5975544644</v>
      </c>
      <c r="G23" s="318">
        <f>Cronogra!AE36</f>
        <v>1322963.5799999998</v>
      </c>
      <c r="H23" s="320"/>
      <c r="I23" s="318">
        <v>3021924.34</v>
      </c>
      <c r="J23" s="312">
        <f t="shared" si="0"/>
        <v>136424.01755446452</v>
      </c>
      <c r="K23" s="313">
        <f t="shared" si="1"/>
        <v>9.3480318582310797</v>
      </c>
      <c r="L23" s="313">
        <f t="shared" si="2"/>
        <v>2.1160055683085415</v>
      </c>
      <c r="O23" s="321"/>
      <c r="P23" s="314"/>
    </row>
    <row r="24" spans="1:18">
      <c r="A24" s="305">
        <v>14</v>
      </c>
      <c r="B24" s="315" t="s">
        <v>474</v>
      </c>
      <c r="C24" s="316"/>
      <c r="D24" s="320"/>
      <c r="E24" s="317"/>
      <c r="F24" s="309">
        <f>SUM(SUM(Cronogra!S17:X17))</f>
        <v>180601.66030274605</v>
      </c>
      <c r="G24" s="318">
        <f>Cronogra!AE37</f>
        <v>0</v>
      </c>
      <c r="H24" s="320"/>
      <c r="I24" s="318">
        <v>8983.18</v>
      </c>
      <c r="J24" s="312">
        <f t="shared" si="0"/>
        <v>180601.66030274605</v>
      </c>
      <c r="K24" s="313">
        <f t="shared" si="1"/>
        <v>100</v>
      </c>
      <c r="L24" s="313">
        <f t="shared" si="2"/>
        <v>0</v>
      </c>
      <c r="O24" s="321"/>
      <c r="P24" s="314"/>
      <c r="R24" s="314"/>
    </row>
    <row r="25" spans="1:18">
      <c r="A25" s="305">
        <v>15</v>
      </c>
      <c r="B25" s="315" t="s">
        <v>475</v>
      </c>
      <c r="C25" s="316"/>
      <c r="D25" s="320"/>
      <c r="E25" s="317"/>
      <c r="F25" s="309">
        <f>SUM(SUM(Cronogra!S18:X18))</f>
        <v>12514539.246344004</v>
      </c>
      <c r="G25" s="318">
        <f>Cronogra!AE38</f>
        <v>11162076.5</v>
      </c>
      <c r="H25" s="219">
        <f>15316055.8</f>
        <v>15316055.800000001</v>
      </c>
      <c r="I25" s="318">
        <v>25810700.559999999</v>
      </c>
      <c r="J25" s="312">
        <f t="shared" si="0"/>
        <v>1352462.7463440038</v>
      </c>
      <c r="K25" s="313">
        <f t="shared" si="1"/>
        <v>10.807131766669812</v>
      </c>
      <c r="L25" s="313">
        <f>(G25/$G$27)*100</f>
        <v>17.853111291155813</v>
      </c>
      <c r="O25" s="314"/>
      <c r="P25" s="314"/>
      <c r="R25" s="314"/>
    </row>
    <row r="26" spans="1:18">
      <c r="A26" s="322">
        <v>16</v>
      </c>
      <c r="B26" s="323" t="s">
        <v>476</v>
      </c>
      <c r="C26" s="324"/>
      <c r="D26" s="324"/>
      <c r="E26" s="325"/>
      <c r="F26" s="309">
        <f>SUM(SUM(Cronogra!S19:X19))</f>
        <v>2141492.9257184649</v>
      </c>
      <c r="G26" s="326">
        <f>Cronogra!AE39</f>
        <v>3076458.77</v>
      </c>
      <c r="H26" s="219">
        <f>2316789.7</f>
        <v>2316789.7000000002</v>
      </c>
      <c r="I26" s="326">
        <v>4416737.33</v>
      </c>
      <c r="J26" s="312">
        <f t="shared" si="0"/>
        <v>-934965.84428153513</v>
      </c>
      <c r="K26" s="313">
        <f t="shared" si="1"/>
        <v>-43.659534572959501</v>
      </c>
      <c r="L26" s="313">
        <f t="shared" si="2"/>
        <v>4.9206221444067628</v>
      </c>
      <c r="O26" s="314"/>
    </row>
    <row r="27" spans="1:18">
      <c r="A27" s="810" t="s">
        <v>477</v>
      </c>
      <c r="B27" s="811"/>
      <c r="C27" s="327"/>
      <c r="D27" s="327"/>
      <c r="E27" s="328"/>
      <c r="F27" s="329">
        <f>SUM(F11:F26)</f>
        <v>68126811.175548062</v>
      </c>
      <c r="G27" s="330">
        <f>SUM(G11:G26)</f>
        <v>62521743.790000007</v>
      </c>
      <c r="H27" s="184">
        <f>SUM(H11:H26)</f>
        <v>69783992.230000004</v>
      </c>
      <c r="I27" s="91">
        <f>SUM(I11:I26)</f>
        <v>146627688.66000003</v>
      </c>
      <c r="J27" s="184">
        <f>SUM(J11:J26)</f>
        <v>5605067.385548044</v>
      </c>
      <c r="K27" s="184"/>
      <c r="L27" s="100">
        <f>SUM(L11:L26)</f>
        <v>100</v>
      </c>
      <c r="O27" s="314"/>
    </row>
    <row r="28" spans="1:18">
      <c r="B28" s="153" t="s">
        <v>478</v>
      </c>
      <c r="C28" s="153" t="s">
        <v>479</v>
      </c>
      <c r="I28" s="188"/>
      <c r="R28" s="314"/>
    </row>
    <row r="29" spans="1:18" s="125" customFormat="1" ht="8.25">
      <c r="F29" s="109"/>
      <c r="G29" s="331">
        <f>G27-Cronogra!AE40</f>
        <v>0</v>
      </c>
      <c r="H29" s="331">
        <f>H27-Cronogra!D53</f>
        <v>0</v>
      </c>
      <c r="I29" s="331">
        <f>146627688.66-I27</f>
        <v>0</v>
      </c>
      <c r="J29" s="63"/>
    </row>
    <row r="30" spans="1:18">
      <c r="B30" s="95" t="s">
        <v>480</v>
      </c>
      <c r="C30" s="60" t="s">
        <v>481</v>
      </c>
      <c r="F30" s="219"/>
      <c r="G30" s="332"/>
    </row>
    <row r="31" spans="1:18" ht="14.25">
      <c r="B31" s="333" t="s">
        <v>1283</v>
      </c>
      <c r="C31" s="153"/>
      <c r="F31" s="219"/>
      <c r="G31" s="334"/>
    </row>
    <row r="32" spans="1:18">
      <c r="B32" s="335" t="s">
        <v>482</v>
      </c>
      <c r="C32" s="60" t="s">
        <v>483</v>
      </c>
    </row>
    <row r="33" spans="2:15">
      <c r="B33" s="60" t="s">
        <v>484</v>
      </c>
      <c r="M33" s="321"/>
    </row>
    <row r="34" spans="2:15">
      <c r="B34" s="335" t="s">
        <v>485</v>
      </c>
      <c r="C34" s="67" t="str">
        <f>IF(H34&gt;0,"Superávit Orçamentário Consolidado apurado do período","Déficit Orçamentário Consolidado apurado do período")</f>
        <v>Superávit Orçamentário Consolidado apurado do período</v>
      </c>
      <c r="H34" s="336">
        <f>H27-G27</f>
        <v>7262248.4399999976</v>
      </c>
      <c r="I34" s="314" t="s">
        <v>486</v>
      </c>
      <c r="M34" s="321"/>
    </row>
    <row r="35" spans="2:15">
      <c r="B35" s="335" t="s">
        <v>487</v>
      </c>
      <c r="C35" s="337" t="str">
        <f>IF(H35&gt;0,"Superávit Orçamentário da Pref. Municipal apurado do período","Déficit Orçamentário da Pref. Municipal apurado do período")</f>
        <v>Superávit Orçamentário da Pref. Municipal apurado do período</v>
      </c>
      <c r="H35" s="319">
        <f>H16-SUM(G11:G24)</f>
        <v>3867938.2099999934</v>
      </c>
      <c r="I35" s="338"/>
      <c r="J35" s="339"/>
      <c r="K35" s="338"/>
      <c r="O35" s="314"/>
    </row>
    <row r="36" spans="2:15">
      <c r="B36" s="335" t="s">
        <v>488</v>
      </c>
      <c r="C36" s="340" t="s">
        <v>1282</v>
      </c>
      <c r="D36" s="320"/>
      <c r="E36" s="320"/>
      <c r="F36" s="320"/>
      <c r="G36" s="320"/>
      <c r="H36" s="319"/>
      <c r="J36" s="341">
        <f>Cronogra!J56</f>
        <v>6809544.8300000001</v>
      </c>
      <c r="K36" s="342"/>
    </row>
    <row r="37" spans="2:15" s="153" customFormat="1" ht="11.25">
      <c r="B37" s="335"/>
      <c r="C37" s="159"/>
      <c r="E37" s="223"/>
      <c r="G37" s="223"/>
      <c r="H37" s="223"/>
      <c r="J37" s="288"/>
    </row>
    <row r="38" spans="2:15" s="153" customFormat="1" ht="11.25">
      <c r="B38" s="60"/>
      <c r="G38" s="175"/>
      <c r="H38" s="389"/>
      <c r="I38" s="223"/>
      <c r="J38" s="223"/>
    </row>
    <row r="39" spans="2:15" s="153" customFormat="1" ht="11.25">
      <c r="B39" s="57"/>
      <c r="C39" s="58" t="s">
        <v>109</v>
      </c>
      <c r="D39" s="57"/>
      <c r="E39" s="57"/>
      <c r="F39" s="59" t="s">
        <v>110</v>
      </c>
      <c r="G39" s="59"/>
      <c r="H39" s="60"/>
      <c r="I39" s="58"/>
      <c r="J39" s="61" t="s">
        <v>111</v>
      </c>
      <c r="K39" s="60"/>
    </row>
    <row r="40" spans="2:15" s="153" customFormat="1" ht="11.25">
      <c r="B40" s="57"/>
      <c r="C40" s="58" t="s">
        <v>112</v>
      </c>
      <c r="D40" s="57"/>
      <c r="E40" s="57"/>
      <c r="F40" s="59" t="s">
        <v>113</v>
      </c>
      <c r="G40" s="59"/>
      <c r="H40" s="60"/>
      <c r="I40" s="58"/>
      <c r="J40" s="61" t="s">
        <v>114</v>
      </c>
      <c r="K40" s="60"/>
    </row>
    <row r="41" spans="2:15">
      <c r="B41" s="62"/>
      <c r="C41" s="62"/>
      <c r="D41" s="62"/>
      <c r="E41" s="62"/>
      <c r="F41" s="62"/>
      <c r="G41" s="62"/>
      <c r="H41" s="63"/>
      <c r="I41" s="62"/>
      <c r="J41" s="62"/>
      <c r="K41" s="62"/>
    </row>
    <row r="42" spans="2:15" s="153" customFormat="1" ht="11.25"/>
    <row r="43" spans="2:15" s="153" customFormat="1" ht="11.25"/>
    <row r="44" spans="2:15" s="153" customFormat="1" ht="11.25"/>
    <row r="45" spans="2:15" s="153" customFormat="1" ht="11.25"/>
    <row r="46" spans="2:15" s="153" customFormat="1" ht="11.25"/>
    <row r="47" spans="2:15" s="153" customFormat="1" ht="11.25"/>
    <row r="48" spans="2:15" s="153" customFormat="1" ht="11.25"/>
    <row r="49" s="153" customFormat="1" ht="11.25"/>
    <row r="50" s="153" customFormat="1" ht="11.25"/>
    <row r="51" s="153" customFormat="1" ht="11.25"/>
    <row r="52" s="153" customFormat="1" ht="11.25"/>
    <row r="53" s="153" customFormat="1" ht="11.25"/>
    <row r="54" s="153" customFormat="1" ht="11.25"/>
    <row r="55" s="153" customFormat="1" ht="11.25"/>
    <row r="56" s="153" customFormat="1" ht="11.25"/>
    <row r="57" s="153" customFormat="1" ht="11.25"/>
    <row r="58" s="153" customFormat="1" ht="11.25"/>
    <row r="59" s="153" customFormat="1" ht="11.25"/>
    <row r="60" s="153" customFormat="1" ht="11.25"/>
    <row r="61" s="153" customFormat="1" ht="11.25"/>
    <row r="62" s="153" customFormat="1" ht="11.25"/>
    <row r="63" s="153" customFormat="1" ht="11.25"/>
    <row r="64" s="153" customFormat="1" ht="11.25"/>
    <row r="65" spans="1:2" s="153" customFormat="1" ht="11.25"/>
    <row r="66" spans="1:2" s="153" customFormat="1" ht="11.25"/>
    <row r="67" spans="1:2" s="153" customFormat="1" ht="11.25"/>
    <row r="68" spans="1:2" s="153" customFormat="1" ht="11.25"/>
    <row r="69" spans="1:2" s="153" customFormat="1" ht="11.25"/>
    <row r="70" spans="1:2" s="153" customFormat="1" ht="11.25"/>
    <row r="71" spans="1:2" s="153" customFormat="1" ht="11.25"/>
    <row r="72" spans="1:2" s="153" customFormat="1" ht="11.25"/>
    <row r="73" spans="1:2" s="153" customFormat="1" ht="11.25"/>
    <row r="74" spans="1:2">
      <c r="B74" s="67" t="s">
        <v>489</v>
      </c>
    </row>
    <row r="75" spans="1:2" s="153" customFormat="1" ht="11.25">
      <c r="B75" s="60" t="s">
        <v>490</v>
      </c>
    </row>
    <row r="76" spans="1:2" s="153" customFormat="1" ht="11.25">
      <c r="B76" s="60" t="s">
        <v>491</v>
      </c>
    </row>
    <row r="77" spans="1:2" s="153" customFormat="1" ht="11.25">
      <c r="B77" s="60" t="s">
        <v>492</v>
      </c>
    </row>
    <row r="78" spans="1:2">
      <c r="A78" s="320"/>
      <c r="B78" s="153"/>
    </row>
    <row r="82" spans="2:11">
      <c r="B82" s="57"/>
      <c r="C82" s="58" t="s">
        <v>109</v>
      </c>
      <c r="D82" s="57"/>
      <c r="E82" s="57"/>
      <c r="F82" s="59" t="s">
        <v>110</v>
      </c>
      <c r="G82" s="59"/>
      <c r="H82" s="60"/>
      <c r="I82" s="58"/>
      <c r="J82" s="61" t="s">
        <v>111</v>
      </c>
      <c r="K82" s="60"/>
    </row>
    <row r="83" spans="2:11">
      <c r="B83" s="57"/>
      <c r="C83" s="58" t="s">
        <v>112</v>
      </c>
      <c r="D83" s="57"/>
      <c r="E83" s="57"/>
      <c r="F83" s="59" t="s">
        <v>113</v>
      </c>
      <c r="G83" s="59"/>
      <c r="H83" s="60"/>
      <c r="I83" s="58"/>
      <c r="J83" s="61" t="s">
        <v>114</v>
      </c>
      <c r="K83" s="62"/>
    </row>
    <row r="84" spans="2:11">
      <c r="B84" s="62"/>
      <c r="C84" s="62"/>
      <c r="D84" s="62"/>
      <c r="E84" s="62"/>
      <c r="F84" s="62"/>
      <c r="G84" s="62"/>
      <c r="H84" s="63"/>
      <c r="I84" s="62"/>
      <c r="J84" s="62"/>
      <c r="K84" s="62"/>
    </row>
  </sheetData>
  <mergeCells count="3">
    <mergeCell ref="A8:C8"/>
    <mergeCell ref="A9:C9"/>
    <mergeCell ref="A27:B2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89"/>
  <sheetViews>
    <sheetView workbookViewId="0">
      <selection activeCell="I38" sqref="I38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0" max="11" width="11.7109375" customWidth="1"/>
    <col min="12" max="12" width="13.7109375" customWidth="1"/>
  </cols>
  <sheetData>
    <row r="1" spans="1:12">
      <c r="A1" s="405" t="s">
        <v>557</v>
      </c>
    </row>
    <row r="2" spans="1:12">
      <c r="A2" s="405" t="s">
        <v>558</v>
      </c>
    </row>
    <row r="4" spans="1:12">
      <c r="A4" s="405" t="s">
        <v>559</v>
      </c>
      <c r="C4" s="406" t="s">
        <v>560</v>
      </c>
    </row>
    <row r="6" spans="1:12">
      <c r="D6" s="813" t="s">
        <v>561</v>
      </c>
      <c r="E6" s="813" t="s">
        <v>562</v>
      </c>
      <c r="F6" s="813" t="s">
        <v>563</v>
      </c>
      <c r="G6" s="813" t="s">
        <v>564</v>
      </c>
      <c r="H6" s="813" t="s">
        <v>925</v>
      </c>
      <c r="I6" s="813" t="s">
        <v>926</v>
      </c>
      <c r="J6" s="813" t="s">
        <v>927</v>
      </c>
      <c r="K6" s="813" t="s">
        <v>568</v>
      </c>
      <c r="L6" s="813" t="s">
        <v>569</v>
      </c>
    </row>
    <row r="7" spans="1:12">
      <c r="A7" s="407" t="s">
        <v>570</v>
      </c>
      <c r="D7" s="814"/>
      <c r="E7" s="814"/>
      <c r="F7" s="814"/>
      <c r="G7" s="814"/>
      <c r="H7" s="814"/>
      <c r="I7" s="814"/>
      <c r="J7" s="814"/>
      <c r="K7" s="814"/>
      <c r="L7" s="814"/>
    </row>
    <row r="8" spans="1:12">
      <c r="A8" s="408">
        <v>1</v>
      </c>
      <c r="B8" s="812" t="s">
        <v>571</v>
      </c>
      <c r="C8" s="812"/>
      <c r="D8" s="408" t="s">
        <v>572</v>
      </c>
      <c r="E8" s="408" t="s">
        <v>573</v>
      </c>
      <c r="F8" s="408" t="s">
        <v>574</v>
      </c>
      <c r="G8" s="408" t="s">
        <v>575</v>
      </c>
      <c r="H8" s="408" t="s">
        <v>928</v>
      </c>
      <c r="I8" s="408" t="s">
        <v>929</v>
      </c>
      <c r="J8" s="408" t="s">
        <v>930</v>
      </c>
      <c r="K8" s="408" t="s">
        <v>574</v>
      </c>
      <c r="L8" s="408" t="s">
        <v>931</v>
      </c>
    </row>
    <row r="9" spans="1:12">
      <c r="A9" s="408">
        <v>20</v>
      </c>
      <c r="B9" s="812" t="s">
        <v>580</v>
      </c>
      <c r="C9" s="812"/>
      <c r="D9" s="408" t="s">
        <v>581</v>
      </c>
      <c r="E9" s="408" t="s">
        <v>582</v>
      </c>
      <c r="F9" s="408" t="s">
        <v>583</v>
      </c>
      <c r="G9" s="408" t="s">
        <v>584</v>
      </c>
      <c r="H9" s="408" t="s">
        <v>932</v>
      </c>
      <c r="I9" s="408" t="s">
        <v>933</v>
      </c>
      <c r="J9" s="408" t="s">
        <v>934</v>
      </c>
      <c r="K9" s="408" t="s">
        <v>583</v>
      </c>
      <c r="L9" s="408" t="s">
        <v>935</v>
      </c>
    </row>
    <row r="10" spans="1:12">
      <c r="A10" s="408">
        <v>30</v>
      </c>
      <c r="B10" s="812" t="s">
        <v>936</v>
      </c>
      <c r="C10" s="812"/>
      <c r="D10" s="408" t="s">
        <v>583</v>
      </c>
      <c r="E10" s="408" t="s">
        <v>583</v>
      </c>
      <c r="F10" s="408" t="s">
        <v>583</v>
      </c>
      <c r="G10" s="408" t="s">
        <v>583</v>
      </c>
      <c r="H10" s="408" t="s">
        <v>583</v>
      </c>
      <c r="I10" s="408" t="s">
        <v>937</v>
      </c>
      <c r="J10" s="408" t="s">
        <v>937</v>
      </c>
      <c r="K10" s="408" t="s">
        <v>583</v>
      </c>
      <c r="L10" s="408" t="s">
        <v>938</v>
      </c>
    </row>
    <row r="11" spans="1:12">
      <c r="A11" s="408">
        <v>31</v>
      </c>
      <c r="B11" s="812" t="s">
        <v>589</v>
      </c>
      <c r="C11" s="812"/>
      <c r="D11" s="408" t="s">
        <v>590</v>
      </c>
      <c r="E11" s="408" t="s">
        <v>591</v>
      </c>
      <c r="F11" s="408" t="s">
        <v>583</v>
      </c>
      <c r="G11" s="408" t="s">
        <v>592</v>
      </c>
      <c r="H11" s="408" t="s">
        <v>593</v>
      </c>
      <c r="I11" s="408" t="s">
        <v>939</v>
      </c>
      <c r="J11" s="408" t="s">
        <v>940</v>
      </c>
      <c r="K11" s="408" t="s">
        <v>583</v>
      </c>
      <c r="L11" s="408" t="s">
        <v>941</v>
      </c>
    </row>
    <row r="12" spans="1:12">
      <c r="A12" s="408">
        <v>40</v>
      </c>
      <c r="B12" s="812" t="s">
        <v>595</v>
      </c>
      <c r="C12" s="812"/>
      <c r="D12" s="408" t="s">
        <v>596</v>
      </c>
      <c r="E12" s="408" t="s">
        <v>597</v>
      </c>
      <c r="F12" s="408" t="s">
        <v>583</v>
      </c>
      <c r="G12" s="408" t="s">
        <v>598</v>
      </c>
      <c r="H12" s="408" t="s">
        <v>942</v>
      </c>
      <c r="I12" s="408" t="s">
        <v>943</v>
      </c>
      <c r="J12" s="408" t="s">
        <v>944</v>
      </c>
      <c r="K12" s="408" t="s">
        <v>583</v>
      </c>
      <c r="L12" s="408" t="s">
        <v>945</v>
      </c>
    </row>
    <row r="13" spans="1:12">
      <c r="A13" s="408">
        <v>50</v>
      </c>
      <c r="B13" s="812" t="s">
        <v>603</v>
      </c>
      <c r="C13" s="812"/>
      <c r="D13" s="408" t="s">
        <v>604</v>
      </c>
      <c r="E13" s="408" t="s">
        <v>605</v>
      </c>
      <c r="F13" s="408" t="s">
        <v>583</v>
      </c>
      <c r="G13" s="408" t="s">
        <v>606</v>
      </c>
      <c r="H13" s="408" t="s">
        <v>946</v>
      </c>
      <c r="I13" s="408" t="s">
        <v>947</v>
      </c>
      <c r="J13" s="408" t="s">
        <v>948</v>
      </c>
      <c r="K13" s="408" t="s">
        <v>583</v>
      </c>
      <c r="L13" s="408" t="s">
        <v>949</v>
      </c>
    </row>
    <row r="14" spans="1:12">
      <c r="A14" s="408">
        <v>900</v>
      </c>
      <c r="B14" s="812" t="s">
        <v>609</v>
      </c>
      <c r="C14" s="812"/>
      <c r="D14" s="408" t="s">
        <v>610</v>
      </c>
      <c r="E14" s="408" t="s">
        <v>583</v>
      </c>
      <c r="F14" s="408" t="s">
        <v>583</v>
      </c>
      <c r="G14" s="408" t="s">
        <v>610</v>
      </c>
      <c r="H14" s="408" t="s">
        <v>583</v>
      </c>
      <c r="I14" s="408" t="s">
        <v>583</v>
      </c>
      <c r="J14" s="408" t="s">
        <v>583</v>
      </c>
      <c r="K14" s="408" t="s">
        <v>583</v>
      </c>
      <c r="L14" s="408" t="s">
        <v>610</v>
      </c>
    </row>
    <row r="15" spans="1:12">
      <c r="A15" s="408">
        <v>1022</v>
      </c>
      <c r="B15" s="812" t="s">
        <v>611</v>
      </c>
      <c r="C15" s="812"/>
      <c r="D15" s="408" t="s">
        <v>612</v>
      </c>
      <c r="E15" s="408" t="s">
        <v>613</v>
      </c>
      <c r="F15" s="408" t="s">
        <v>583</v>
      </c>
      <c r="G15" s="408" t="s">
        <v>614</v>
      </c>
      <c r="H15" s="408" t="s">
        <v>950</v>
      </c>
      <c r="I15" s="408" t="s">
        <v>583</v>
      </c>
      <c r="J15" s="408" t="s">
        <v>950</v>
      </c>
      <c r="K15" s="408" t="s">
        <v>583</v>
      </c>
      <c r="L15" s="408" t="s">
        <v>951</v>
      </c>
    </row>
    <row r="16" spans="1:12">
      <c r="A16" s="408">
        <v>1023</v>
      </c>
      <c r="B16" s="812" t="s">
        <v>617</v>
      </c>
      <c r="C16" s="812"/>
      <c r="D16" s="408" t="s">
        <v>618</v>
      </c>
      <c r="E16" s="408" t="s">
        <v>619</v>
      </c>
      <c r="F16" s="408" t="s">
        <v>583</v>
      </c>
      <c r="G16" s="408" t="s">
        <v>620</v>
      </c>
      <c r="H16" s="408" t="s">
        <v>952</v>
      </c>
      <c r="I16" s="408" t="s">
        <v>953</v>
      </c>
      <c r="J16" s="408" t="s">
        <v>954</v>
      </c>
      <c r="K16" s="408" t="s">
        <v>583</v>
      </c>
      <c r="L16" s="408" t="s">
        <v>955</v>
      </c>
    </row>
    <row r="17" spans="1:12">
      <c r="A17" s="408">
        <v>1024</v>
      </c>
      <c r="B17" s="812" t="s">
        <v>625</v>
      </c>
      <c r="C17" s="812"/>
      <c r="D17" s="408" t="s">
        <v>626</v>
      </c>
      <c r="E17" s="408" t="s">
        <v>627</v>
      </c>
      <c r="F17" s="408" t="s">
        <v>583</v>
      </c>
      <c r="G17" s="408" t="s">
        <v>628</v>
      </c>
      <c r="H17" s="408" t="s">
        <v>583</v>
      </c>
      <c r="I17" s="408" t="s">
        <v>583</v>
      </c>
      <c r="J17" s="408" t="s">
        <v>583</v>
      </c>
      <c r="K17" s="408" t="s">
        <v>583</v>
      </c>
      <c r="L17" s="408" t="s">
        <v>628</v>
      </c>
    </row>
    <row r="18" spans="1:12">
      <c r="A18" s="408">
        <v>1025</v>
      </c>
      <c r="B18" s="812" t="s">
        <v>629</v>
      </c>
      <c r="C18" s="812"/>
      <c r="D18" s="408" t="s">
        <v>630</v>
      </c>
      <c r="E18" s="408" t="s">
        <v>631</v>
      </c>
      <c r="F18" s="408" t="s">
        <v>583</v>
      </c>
      <c r="G18" s="408" t="s">
        <v>632</v>
      </c>
      <c r="H18" s="408" t="s">
        <v>583</v>
      </c>
      <c r="I18" s="408" t="s">
        <v>583</v>
      </c>
      <c r="J18" s="408" t="s">
        <v>583</v>
      </c>
      <c r="K18" s="408" t="s">
        <v>583</v>
      </c>
      <c r="L18" s="408" t="s">
        <v>632</v>
      </c>
    </row>
    <row r="19" spans="1:12">
      <c r="A19" s="408">
        <v>1026</v>
      </c>
      <c r="B19" s="812" t="s">
        <v>633</v>
      </c>
      <c r="C19" s="812"/>
      <c r="D19" s="408" t="s">
        <v>634</v>
      </c>
      <c r="E19" s="408" t="s">
        <v>635</v>
      </c>
      <c r="F19" s="408" t="s">
        <v>583</v>
      </c>
      <c r="G19" s="408" t="s">
        <v>636</v>
      </c>
      <c r="H19" s="408" t="s">
        <v>583</v>
      </c>
      <c r="I19" s="408" t="s">
        <v>956</v>
      </c>
      <c r="J19" s="408" t="s">
        <v>956</v>
      </c>
      <c r="K19" s="408" t="s">
        <v>583</v>
      </c>
      <c r="L19" s="408" t="s">
        <v>957</v>
      </c>
    </row>
    <row r="20" spans="1:12">
      <c r="A20" s="408">
        <v>1031</v>
      </c>
      <c r="B20" s="812" t="s">
        <v>637</v>
      </c>
      <c r="C20" s="812"/>
      <c r="D20" s="408" t="s">
        <v>638</v>
      </c>
      <c r="E20" s="408" t="s">
        <v>639</v>
      </c>
      <c r="F20" s="408" t="s">
        <v>583</v>
      </c>
      <c r="G20" s="408" t="s">
        <v>640</v>
      </c>
      <c r="H20" s="408" t="s">
        <v>583</v>
      </c>
      <c r="I20" s="408" t="s">
        <v>583</v>
      </c>
      <c r="J20" s="408" t="s">
        <v>583</v>
      </c>
      <c r="K20" s="408" t="s">
        <v>583</v>
      </c>
      <c r="L20" s="408" t="s">
        <v>640</v>
      </c>
    </row>
    <row r="21" spans="1:12">
      <c r="A21" s="408">
        <v>1101</v>
      </c>
      <c r="B21" s="812" t="s">
        <v>641</v>
      </c>
      <c r="C21" s="812"/>
      <c r="D21" s="408" t="s">
        <v>642</v>
      </c>
      <c r="E21" s="408" t="s">
        <v>643</v>
      </c>
      <c r="F21" s="408" t="s">
        <v>583</v>
      </c>
      <c r="G21" s="408" t="s">
        <v>644</v>
      </c>
      <c r="H21" s="408" t="s">
        <v>583</v>
      </c>
      <c r="I21" s="408" t="s">
        <v>583</v>
      </c>
      <c r="J21" s="408" t="s">
        <v>583</v>
      </c>
      <c r="K21" s="408" t="s">
        <v>583</v>
      </c>
      <c r="L21" s="408" t="s">
        <v>644</v>
      </c>
    </row>
    <row r="22" spans="1:12">
      <c r="A22" s="408">
        <v>1103</v>
      </c>
      <c r="B22" s="812" t="s">
        <v>645</v>
      </c>
      <c r="C22" s="812"/>
      <c r="D22" s="408" t="s">
        <v>646</v>
      </c>
      <c r="E22" s="408" t="s">
        <v>647</v>
      </c>
      <c r="F22" s="408" t="s">
        <v>583</v>
      </c>
      <c r="G22" s="408" t="s">
        <v>648</v>
      </c>
      <c r="H22" s="408" t="s">
        <v>958</v>
      </c>
      <c r="I22" s="408" t="s">
        <v>959</v>
      </c>
      <c r="J22" s="408" t="s">
        <v>960</v>
      </c>
      <c r="K22" s="408" t="s">
        <v>583</v>
      </c>
      <c r="L22" s="408" t="s">
        <v>961</v>
      </c>
    </row>
    <row r="23" spans="1:12">
      <c r="A23" s="408">
        <v>1104</v>
      </c>
      <c r="B23" s="812" t="s">
        <v>651</v>
      </c>
      <c r="C23" s="812"/>
      <c r="D23" s="408" t="s">
        <v>652</v>
      </c>
      <c r="E23" s="408" t="s">
        <v>653</v>
      </c>
      <c r="F23" s="408" t="s">
        <v>583</v>
      </c>
      <c r="G23" s="408" t="s">
        <v>654</v>
      </c>
      <c r="H23" s="408" t="s">
        <v>583</v>
      </c>
      <c r="I23" s="408" t="s">
        <v>583</v>
      </c>
      <c r="J23" s="408" t="s">
        <v>583</v>
      </c>
      <c r="K23" s="408" t="s">
        <v>583</v>
      </c>
      <c r="L23" s="408" t="s">
        <v>654</v>
      </c>
    </row>
    <row r="24" spans="1:12">
      <c r="A24" s="408">
        <v>1121</v>
      </c>
      <c r="B24" s="812" t="s">
        <v>655</v>
      </c>
      <c r="C24" s="812"/>
      <c r="D24" s="408" t="s">
        <v>656</v>
      </c>
      <c r="E24" s="408" t="s">
        <v>657</v>
      </c>
      <c r="F24" s="408" t="s">
        <v>583</v>
      </c>
      <c r="G24" s="408" t="s">
        <v>658</v>
      </c>
      <c r="H24" s="408" t="s">
        <v>962</v>
      </c>
      <c r="I24" s="408" t="s">
        <v>963</v>
      </c>
      <c r="J24" s="408" t="s">
        <v>964</v>
      </c>
      <c r="K24" s="408" t="s">
        <v>583</v>
      </c>
      <c r="L24" s="408" t="s">
        <v>965</v>
      </c>
    </row>
    <row r="25" spans="1:12">
      <c r="A25" s="408">
        <v>1122</v>
      </c>
      <c r="B25" s="812" t="s">
        <v>661</v>
      </c>
      <c r="C25" s="812"/>
      <c r="D25" s="408" t="s">
        <v>662</v>
      </c>
      <c r="E25" s="408" t="s">
        <v>663</v>
      </c>
      <c r="F25" s="408" t="s">
        <v>583</v>
      </c>
      <c r="G25" s="408" t="s">
        <v>664</v>
      </c>
      <c r="H25" s="408" t="s">
        <v>583</v>
      </c>
      <c r="I25" s="408" t="s">
        <v>966</v>
      </c>
      <c r="J25" s="408" t="s">
        <v>966</v>
      </c>
      <c r="K25" s="408" t="s">
        <v>583</v>
      </c>
      <c r="L25" s="408" t="s">
        <v>967</v>
      </c>
    </row>
    <row r="26" spans="1:12">
      <c r="A26" s="408">
        <v>1123</v>
      </c>
      <c r="B26" s="812" t="s">
        <v>665</v>
      </c>
      <c r="C26" s="812"/>
      <c r="D26" s="408" t="s">
        <v>666</v>
      </c>
      <c r="E26" s="408" t="s">
        <v>667</v>
      </c>
      <c r="F26" s="408" t="s">
        <v>583</v>
      </c>
      <c r="G26" s="408" t="s">
        <v>668</v>
      </c>
      <c r="H26" s="408" t="s">
        <v>583</v>
      </c>
      <c r="I26" s="408" t="s">
        <v>583</v>
      </c>
      <c r="J26" s="408" t="s">
        <v>583</v>
      </c>
      <c r="K26" s="408" t="s">
        <v>583</v>
      </c>
      <c r="L26" s="408" t="s">
        <v>668</v>
      </c>
    </row>
    <row r="27" spans="1:12">
      <c r="A27" s="408">
        <v>1124</v>
      </c>
      <c r="B27" s="812" t="s">
        <v>669</v>
      </c>
      <c r="C27" s="812"/>
      <c r="D27" s="408" t="s">
        <v>670</v>
      </c>
      <c r="E27" s="408" t="s">
        <v>671</v>
      </c>
      <c r="F27" s="408" t="s">
        <v>583</v>
      </c>
      <c r="G27" s="408" t="s">
        <v>672</v>
      </c>
      <c r="H27" s="408" t="s">
        <v>968</v>
      </c>
      <c r="I27" s="408" t="s">
        <v>969</v>
      </c>
      <c r="J27" s="408" t="s">
        <v>970</v>
      </c>
      <c r="K27" s="408" t="s">
        <v>583</v>
      </c>
      <c r="L27" s="408" t="s">
        <v>971</v>
      </c>
    </row>
    <row r="28" spans="1:12">
      <c r="A28" s="408">
        <v>1180</v>
      </c>
      <c r="B28" s="812" t="s">
        <v>675</v>
      </c>
      <c r="C28" s="812"/>
      <c r="D28" s="408" t="s">
        <v>676</v>
      </c>
      <c r="E28" s="408" t="s">
        <v>583</v>
      </c>
      <c r="F28" s="408" t="s">
        <v>583</v>
      </c>
      <c r="G28" s="408" t="s">
        <v>676</v>
      </c>
      <c r="H28" s="408" t="s">
        <v>583</v>
      </c>
      <c r="I28" s="408" t="s">
        <v>583</v>
      </c>
      <c r="J28" s="408" t="s">
        <v>583</v>
      </c>
      <c r="K28" s="408" t="s">
        <v>583</v>
      </c>
      <c r="L28" s="408" t="s">
        <v>676</v>
      </c>
    </row>
    <row r="29" spans="1:12">
      <c r="A29" s="408">
        <v>1181</v>
      </c>
      <c r="B29" s="812" t="s">
        <v>677</v>
      </c>
      <c r="C29" s="812"/>
      <c r="D29" s="408" t="s">
        <v>678</v>
      </c>
      <c r="E29" s="408" t="s">
        <v>679</v>
      </c>
      <c r="F29" s="408" t="s">
        <v>583</v>
      </c>
      <c r="G29" s="408" t="s">
        <v>680</v>
      </c>
      <c r="H29" s="408" t="s">
        <v>583</v>
      </c>
      <c r="I29" s="408" t="s">
        <v>583</v>
      </c>
      <c r="J29" s="408" t="s">
        <v>583</v>
      </c>
      <c r="K29" s="408" t="s">
        <v>583</v>
      </c>
      <c r="L29" s="408" t="s">
        <v>680</v>
      </c>
    </row>
    <row r="30" spans="1:12">
      <c r="A30" s="408">
        <v>1182</v>
      </c>
      <c r="B30" s="812" t="s">
        <v>681</v>
      </c>
      <c r="C30" s="812"/>
      <c r="D30" s="408" t="s">
        <v>682</v>
      </c>
      <c r="E30" s="408" t="s">
        <v>683</v>
      </c>
      <c r="F30" s="408" t="s">
        <v>583</v>
      </c>
      <c r="G30" s="408" t="s">
        <v>684</v>
      </c>
      <c r="H30" s="408" t="s">
        <v>685</v>
      </c>
      <c r="I30" s="408" t="s">
        <v>972</v>
      </c>
      <c r="J30" s="408" t="s">
        <v>973</v>
      </c>
      <c r="K30" s="408" t="s">
        <v>583</v>
      </c>
      <c r="L30" s="408" t="s">
        <v>974</v>
      </c>
    </row>
    <row r="31" spans="1:12">
      <c r="A31" s="408">
        <v>1184</v>
      </c>
      <c r="B31" s="812" t="s">
        <v>689</v>
      </c>
      <c r="C31" s="812"/>
      <c r="D31" s="408" t="s">
        <v>690</v>
      </c>
      <c r="E31" s="408" t="s">
        <v>691</v>
      </c>
      <c r="F31" s="408" t="s">
        <v>583</v>
      </c>
      <c r="G31" s="408" t="s">
        <v>692</v>
      </c>
      <c r="H31" s="408" t="s">
        <v>975</v>
      </c>
      <c r="I31" s="408" t="s">
        <v>976</v>
      </c>
      <c r="J31" s="408" t="s">
        <v>977</v>
      </c>
      <c r="K31" s="408" t="s">
        <v>583</v>
      </c>
      <c r="L31" s="408" t="s">
        <v>978</v>
      </c>
    </row>
    <row r="32" spans="1:12">
      <c r="A32" s="408">
        <v>1186</v>
      </c>
      <c r="B32" s="812" t="s">
        <v>697</v>
      </c>
      <c r="C32" s="812"/>
      <c r="D32" s="408" t="s">
        <v>698</v>
      </c>
      <c r="E32" s="408" t="s">
        <v>699</v>
      </c>
      <c r="F32" s="408" t="s">
        <v>583</v>
      </c>
      <c r="G32" s="408" t="s">
        <v>700</v>
      </c>
      <c r="H32" s="408" t="s">
        <v>583</v>
      </c>
      <c r="I32" s="408" t="s">
        <v>583</v>
      </c>
      <c r="J32" s="408" t="s">
        <v>583</v>
      </c>
      <c r="K32" s="408" t="s">
        <v>583</v>
      </c>
      <c r="L32" s="408" t="s">
        <v>700</v>
      </c>
    </row>
    <row r="33" spans="1:12">
      <c r="A33" s="408">
        <v>1187</v>
      </c>
      <c r="B33" s="812" t="s">
        <v>701</v>
      </c>
      <c r="C33" s="812"/>
      <c r="D33" s="408" t="s">
        <v>702</v>
      </c>
      <c r="E33" s="408" t="s">
        <v>703</v>
      </c>
      <c r="F33" s="408" t="s">
        <v>583</v>
      </c>
      <c r="G33" s="408" t="s">
        <v>704</v>
      </c>
      <c r="H33" s="408" t="s">
        <v>583</v>
      </c>
      <c r="I33" s="408" t="s">
        <v>583</v>
      </c>
      <c r="J33" s="408" t="s">
        <v>583</v>
      </c>
      <c r="K33" s="408" t="s">
        <v>583</v>
      </c>
      <c r="L33" s="408" t="s">
        <v>704</v>
      </c>
    </row>
    <row r="34" spans="1:12">
      <c r="A34" s="408">
        <v>1188</v>
      </c>
      <c r="B34" s="812" t="s">
        <v>705</v>
      </c>
      <c r="C34" s="812"/>
      <c r="D34" s="408" t="s">
        <v>706</v>
      </c>
      <c r="E34" s="408" t="s">
        <v>707</v>
      </c>
      <c r="F34" s="408" t="s">
        <v>583</v>
      </c>
      <c r="G34" s="408" t="s">
        <v>708</v>
      </c>
      <c r="H34" s="408" t="s">
        <v>979</v>
      </c>
      <c r="I34" s="408" t="s">
        <v>980</v>
      </c>
      <c r="J34" s="408" t="s">
        <v>981</v>
      </c>
      <c r="K34" s="408" t="s">
        <v>583</v>
      </c>
      <c r="L34" s="408" t="s">
        <v>982</v>
      </c>
    </row>
    <row r="35" spans="1:12">
      <c r="A35" s="408">
        <v>1190</v>
      </c>
      <c r="B35" s="812" t="s">
        <v>711</v>
      </c>
      <c r="C35" s="812"/>
      <c r="D35" s="408" t="s">
        <v>712</v>
      </c>
      <c r="E35" s="408" t="s">
        <v>713</v>
      </c>
      <c r="F35" s="408" t="s">
        <v>583</v>
      </c>
      <c r="G35" s="408" t="s">
        <v>714</v>
      </c>
      <c r="H35" s="408" t="s">
        <v>983</v>
      </c>
      <c r="I35" s="408" t="s">
        <v>984</v>
      </c>
      <c r="J35" s="408" t="s">
        <v>985</v>
      </c>
      <c r="K35" s="408" t="s">
        <v>583</v>
      </c>
      <c r="L35" s="408" t="s">
        <v>986</v>
      </c>
    </row>
    <row r="36" spans="1:12">
      <c r="A36" s="408">
        <v>1500</v>
      </c>
      <c r="B36" s="812" t="s">
        <v>166</v>
      </c>
      <c r="C36" s="812"/>
      <c r="D36" s="408" t="s">
        <v>717</v>
      </c>
      <c r="E36" s="408" t="s">
        <v>718</v>
      </c>
      <c r="F36" s="408" t="s">
        <v>583</v>
      </c>
      <c r="G36" s="408" t="s">
        <v>719</v>
      </c>
      <c r="H36" s="408" t="s">
        <v>987</v>
      </c>
      <c r="I36" s="408" t="s">
        <v>988</v>
      </c>
      <c r="J36" s="408" t="s">
        <v>989</v>
      </c>
      <c r="K36" s="408" t="s">
        <v>583</v>
      </c>
      <c r="L36" s="408" t="s">
        <v>990</v>
      </c>
    </row>
    <row r="37" spans="1:12">
      <c r="A37" s="408">
        <v>3812</v>
      </c>
      <c r="B37" s="812" t="s">
        <v>722</v>
      </c>
      <c r="C37" s="812"/>
      <c r="D37" s="408" t="s">
        <v>723</v>
      </c>
      <c r="E37" s="408" t="s">
        <v>724</v>
      </c>
      <c r="F37" s="408" t="s">
        <v>583</v>
      </c>
      <c r="G37" s="408" t="s">
        <v>725</v>
      </c>
      <c r="H37" s="408" t="s">
        <v>583</v>
      </c>
      <c r="I37" s="408" t="s">
        <v>991</v>
      </c>
      <c r="J37" s="408" t="s">
        <v>991</v>
      </c>
      <c r="K37" s="408" t="s">
        <v>583</v>
      </c>
      <c r="L37" s="408" t="s">
        <v>992</v>
      </c>
    </row>
    <row r="38" spans="1:12">
      <c r="A38" s="408">
        <v>3813</v>
      </c>
      <c r="B38" s="812" t="s">
        <v>726</v>
      </c>
      <c r="C38" s="812"/>
      <c r="D38" s="408" t="s">
        <v>727</v>
      </c>
      <c r="E38" s="408" t="s">
        <v>728</v>
      </c>
      <c r="F38" s="408" t="s">
        <v>583</v>
      </c>
      <c r="G38" s="408" t="s">
        <v>729</v>
      </c>
      <c r="H38" s="408" t="s">
        <v>583</v>
      </c>
      <c r="I38" s="408" t="s">
        <v>583</v>
      </c>
      <c r="J38" s="408" t="s">
        <v>583</v>
      </c>
      <c r="K38" s="408" t="s">
        <v>583</v>
      </c>
      <c r="L38" s="408" t="s">
        <v>729</v>
      </c>
    </row>
    <row r="39" spans="1:12">
      <c r="A39" s="408">
        <v>3814</v>
      </c>
      <c r="B39" s="812" t="s">
        <v>993</v>
      </c>
      <c r="C39" s="812"/>
      <c r="D39" s="408" t="s">
        <v>583</v>
      </c>
      <c r="E39" s="408" t="s">
        <v>583</v>
      </c>
      <c r="F39" s="408" t="s">
        <v>583</v>
      </c>
      <c r="G39" s="408" t="s">
        <v>583</v>
      </c>
      <c r="H39" s="408" t="s">
        <v>994</v>
      </c>
      <c r="I39" s="408" t="s">
        <v>583</v>
      </c>
      <c r="J39" s="408" t="s">
        <v>994</v>
      </c>
      <c r="K39" s="408" t="s">
        <v>583</v>
      </c>
      <c r="L39" s="408" t="s">
        <v>995</v>
      </c>
    </row>
    <row r="40" spans="1:12">
      <c r="A40" s="408">
        <v>3818</v>
      </c>
      <c r="B40" s="812" t="s">
        <v>730</v>
      </c>
      <c r="C40" s="812"/>
      <c r="D40" s="408" t="s">
        <v>731</v>
      </c>
      <c r="E40" s="408" t="s">
        <v>732</v>
      </c>
      <c r="F40" s="408" t="s">
        <v>583</v>
      </c>
      <c r="G40" s="408" t="s">
        <v>733</v>
      </c>
      <c r="H40" s="408" t="s">
        <v>583</v>
      </c>
      <c r="I40" s="408" t="s">
        <v>583</v>
      </c>
      <c r="J40" s="408" t="s">
        <v>583</v>
      </c>
      <c r="K40" s="408" t="s">
        <v>583</v>
      </c>
      <c r="L40" s="408" t="s">
        <v>733</v>
      </c>
    </row>
    <row r="41" spans="1:12">
      <c r="A41" s="408">
        <v>3819</v>
      </c>
      <c r="B41" s="812" t="s">
        <v>734</v>
      </c>
      <c r="C41" s="812"/>
      <c r="D41" s="408" t="s">
        <v>735</v>
      </c>
      <c r="E41" s="408" t="s">
        <v>736</v>
      </c>
      <c r="F41" s="408" t="s">
        <v>583</v>
      </c>
      <c r="G41" s="408" t="s">
        <v>737</v>
      </c>
      <c r="H41" s="408" t="s">
        <v>583</v>
      </c>
      <c r="I41" s="408" t="s">
        <v>996</v>
      </c>
      <c r="J41" s="408" t="s">
        <v>996</v>
      </c>
      <c r="K41" s="408" t="s">
        <v>583</v>
      </c>
      <c r="L41" s="408" t="s">
        <v>997</v>
      </c>
    </row>
    <row r="42" spans="1:12">
      <c r="A42" s="408">
        <v>3821</v>
      </c>
      <c r="B42" s="812" t="s">
        <v>738</v>
      </c>
      <c r="C42" s="812"/>
      <c r="D42" s="408" t="s">
        <v>739</v>
      </c>
      <c r="E42" s="408" t="s">
        <v>740</v>
      </c>
      <c r="F42" s="408" t="s">
        <v>583</v>
      </c>
      <c r="G42" s="408" t="s">
        <v>741</v>
      </c>
      <c r="H42" s="408" t="s">
        <v>583</v>
      </c>
      <c r="I42" s="408" t="s">
        <v>583</v>
      </c>
      <c r="J42" s="408" t="s">
        <v>583</v>
      </c>
      <c r="K42" s="408" t="s">
        <v>583</v>
      </c>
      <c r="L42" s="408" t="s">
        <v>741</v>
      </c>
    </row>
    <row r="43" spans="1:12">
      <c r="A43" s="408">
        <v>3822</v>
      </c>
      <c r="B43" s="812" t="s">
        <v>742</v>
      </c>
      <c r="C43" s="812"/>
      <c r="D43" s="408" t="s">
        <v>743</v>
      </c>
      <c r="E43" s="408" t="s">
        <v>744</v>
      </c>
      <c r="F43" s="408" t="s">
        <v>583</v>
      </c>
      <c r="G43" s="408" t="s">
        <v>745</v>
      </c>
      <c r="H43" s="408" t="s">
        <v>583</v>
      </c>
      <c r="I43" s="408" t="s">
        <v>998</v>
      </c>
      <c r="J43" s="408" t="s">
        <v>998</v>
      </c>
      <c r="K43" s="408" t="s">
        <v>583</v>
      </c>
      <c r="L43" s="408" t="s">
        <v>999</v>
      </c>
    </row>
    <row r="44" spans="1:12">
      <c r="A44" s="408">
        <v>3826</v>
      </c>
      <c r="B44" s="812" t="s">
        <v>746</v>
      </c>
      <c r="C44" s="812"/>
      <c r="D44" s="408" t="s">
        <v>747</v>
      </c>
      <c r="E44" s="408" t="s">
        <v>748</v>
      </c>
      <c r="F44" s="408" t="s">
        <v>583</v>
      </c>
      <c r="G44" s="408" t="s">
        <v>749</v>
      </c>
      <c r="H44" s="408" t="s">
        <v>583</v>
      </c>
      <c r="I44" s="408" t="s">
        <v>583</v>
      </c>
      <c r="J44" s="408" t="s">
        <v>583</v>
      </c>
      <c r="K44" s="408" t="s">
        <v>583</v>
      </c>
      <c r="L44" s="408" t="s">
        <v>749</v>
      </c>
    </row>
    <row r="45" spans="1:12">
      <c r="A45" s="408">
        <v>3827</v>
      </c>
      <c r="B45" s="812" t="s">
        <v>750</v>
      </c>
      <c r="C45" s="812"/>
      <c r="D45" s="408" t="s">
        <v>751</v>
      </c>
      <c r="E45" s="408" t="s">
        <v>752</v>
      </c>
      <c r="F45" s="408" t="s">
        <v>583</v>
      </c>
      <c r="G45" s="408" t="s">
        <v>753</v>
      </c>
      <c r="H45" s="408" t="s">
        <v>754</v>
      </c>
      <c r="I45" s="408" t="s">
        <v>1000</v>
      </c>
      <c r="J45" s="408" t="s">
        <v>1001</v>
      </c>
      <c r="K45" s="408" t="s">
        <v>583</v>
      </c>
      <c r="L45" s="408" t="s">
        <v>1002</v>
      </c>
    </row>
    <row r="46" spans="1:12">
      <c r="A46" s="408">
        <v>3829</v>
      </c>
      <c r="B46" s="812" t="s">
        <v>1003</v>
      </c>
      <c r="C46" s="812"/>
      <c r="D46" s="408" t="s">
        <v>583</v>
      </c>
      <c r="E46" s="408" t="s">
        <v>583</v>
      </c>
      <c r="F46" s="408" t="s">
        <v>583</v>
      </c>
      <c r="G46" s="408" t="s">
        <v>583</v>
      </c>
      <c r="H46" s="408" t="s">
        <v>583</v>
      </c>
      <c r="I46" s="408" t="s">
        <v>1004</v>
      </c>
      <c r="J46" s="408" t="s">
        <v>1004</v>
      </c>
      <c r="K46" s="408" t="s">
        <v>583</v>
      </c>
      <c r="L46" s="408" t="s">
        <v>1005</v>
      </c>
    </row>
    <row r="47" spans="1:12">
      <c r="A47" s="408">
        <v>3831</v>
      </c>
      <c r="B47" s="812" t="s">
        <v>756</v>
      </c>
      <c r="C47" s="812"/>
      <c r="D47" s="408" t="s">
        <v>757</v>
      </c>
      <c r="E47" s="408" t="s">
        <v>758</v>
      </c>
      <c r="F47" s="408" t="s">
        <v>583</v>
      </c>
      <c r="G47" s="408" t="s">
        <v>759</v>
      </c>
      <c r="H47" s="408" t="s">
        <v>583</v>
      </c>
      <c r="I47" s="408" t="s">
        <v>1006</v>
      </c>
      <c r="J47" s="408" t="s">
        <v>1006</v>
      </c>
      <c r="K47" s="408" t="s">
        <v>583</v>
      </c>
      <c r="L47" s="408" t="s">
        <v>1007</v>
      </c>
    </row>
    <row r="48" spans="1:12">
      <c r="A48" s="408">
        <v>3832</v>
      </c>
      <c r="B48" s="812" t="s">
        <v>762</v>
      </c>
      <c r="C48" s="812"/>
      <c r="D48" s="408" t="s">
        <v>763</v>
      </c>
      <c r="E48" s="408" t="s">
        <v>764</v>
      </c>
      <c r="F48" s="408" t="s">
        <v>583</v>
      </c>
      <c r="G48" s="408" t="s">
        <v>765</v>
      </c>
      <c r="H48" s="408" t="s">
        <v>583</v>
      </c>
      <c r="I48" s="408" t="s">
        <v>1008</v>
      </c>
      <c r="J48" s="408" t="s">
        <v>1008</v>
      </c>
      <c r="K48" s="408" t="s">
        <v>583</v>
      </c>
      <c r="L48" s="408" t="s">
        <v>1009</v>
      </c>
    </row>
    <row r="49" spans="1:12">
      <c r="A49" s="408">
        <v>3833</v>
      </c>
      <c r="B49" s="812" t="s">
        <v>768</v>
      </c>
      <c r="C49" s="812"/>
      <c r="D49" s="408" t="s">
        <v>769</v>
      </c>
      <c r="E49" s="408" t="s">
        <v>770</v>
      </c>
      <c r="F49" s="408" t="s">
        <v>583</v>
      </c>
      <c r="G49" s="408" t="s">
        <v>771</v>
      </c>
      <c r="H49" s="408" t="s">
        <v>583</v>
      </c>
      <c r="I49" s="408" t="s">
        <v>1010</v>
      </c>
      <c r="J49" s="408" t="s">
        <v>1010</v>
      </c>
      <c r="K49" s="408" t="s">
        <v>583</v>
      </c>
      <c r="L49" s="408" t="s">
        <v>1011</v>
      </c>
    </row>
    <row r="50" spans="1:12">
      <c r="A50" s="408">
        <v>3836</v>
      </c>
      <c r="B50" s="812" t="s">
        <v>772</v>
      </c>
      <c r="C50" s="812"/>
      <c r="D50" s="408" t="s">
        <v>583</v>
      </c>
      <c r="E50" s="408" t="s">
        <v>773</v>
      </c>
      <c r="F50" s="408" t="s">
        <v>583</v>
      </c>
      <c r="G50" s="408" t="s">
        <v>773</v>
      </c>
      <c r="H50" s="408" t="s">
        <v>583</v>
      </c>
      <c r="I50" s="408" t="s">
        <v>583</v>
      </c>
      <c r="J50" s="408" t="s">
        <v>583</v>
      </c>
      <c r="K50" s="408" t="s">
        <v>583</v>
      </c>
      <c r="L50" s="408" t="s">
        <v>773</v>
      </c>
    </row>
    <row r="51" spans="1:12">
      <c r="A51" s="408">
        <v>4000</v>
      </c>
      <c r="B51" s="812" t="s">
        <v>774</v>
      </c>
      <c r="C51" s="812"/>
      <c r="D51" s="408" t="s">
        <v>775</v>
      </c>
      <c r="E51" s="408" t="s">
        <v>583</v>
      </c>
      <c r="F51" s="408" t="s">
        <v>583</v>
      </c>
      <c r="G51" s="408" t="s">
        <v>775</v>
      </c>
      <c r="H51" s="408" t="s">
        <v>583</v>
      </c>
      <c r="I51" s="408" t="s">
        <v>583</v>
      </c>
      <c r="J51" s="408" t="s">
        <v>583</v>
      </c>
      <c r="K51" s="408" t="s">
        <v>583</v>
      </c>
      <c r="L51" s="408" t="s">
        <v>775</v>
      </c>
    </row>
    <row r="52" spans="1:12">
      <c r="A52" s="408">
        <v>4001</v>
      </c>
      <c r="B52" s="812" t="s">
        <v>776</v>
      </c>
      <c r="C52" s="812"/>
      <c r="D52" s="408" t="s">
        <v>777</v>
      </c>
      <c r="E52" s="408" t="s">
        <v>778</v>
      </c>
      <c r="F52" s="408" t="s">
        <v>583</v>
      </c>
      <c r="G52" s="408" t="s">
        <v>779</v>
      </c>
      <c r="H52" s="408" t="s">
        <v>1012</v>
      </c>
      <c r="I52" s="408" t="s">
        <v>1013</v>
      </c>
      <c r="J52" s="408" t="s">
        <v>1014</v>
      </c>
      <c r="K52" s="408" t="s">
        <v>583</v>
      </c>
      <c r="L52" s="408" t="s">
        <v>1015</v>
      </c>
    </row>
    <row r="53" spans="1:12">
      <c r="A53" s="408">
        <v>4011</v>
      </c>
      <c r="B53" s="812" t="s">
        <v>782</v>
      </c>
      <c r="C53" s="812"/>
      <c r="D53" s="408" t="s">
        <v>783</v>
      </c>
      <c r="E53" s="408" t="s">
        <v>784</v>
      </c>
      <c r="F53" s="408" t="s">
        <v>583</v>
      </c>
      <c r="G53" s="408" t="s">
        <v>785</v>
      </c>
      <c r="H53" s="408" t="s">
        <v>1016</v>
      </c>
      <c r="I53" s="408" t="s">
        <v>1017</v>
      </c>
      <c r="J53" s="408" t="s">
        <v>1018</v>
      </c>
      <c r="K53" s="408" t="s">
        <v>583</v>
      </c>
      <c r="L53" s="408" t="s">
        <v>1019</v>
      </c>
    </row>
    <row r="54" spans="1:12">
      <c r="A54" s="408">
        <v>4030</v>
      </c>
      <c r="B54" s="812" t="s">
        <v>788</v>
      </c>
      <c r="C54" s="812"/>
      <c r="D54" s="408" t="s">
        <v>789</v>
      </c>
      <c r="E54" s="408" t="s">
        <v>583</v>
      </c>
      <c r="F54" s="408" t="s">
        <v>583</v>
      </c>
      <c r="G54" s="408" t="s">
        <v>789</v>
      </c>
      <c r="H54" s="408" t="s">
        <v>583</v>
      </c>
      <c r="I54" s="408" t="s">
        <v>583</v>
      </c>
      <c r="J54" s="408" t="s">
        <v>583</v>
      </c>
      <c r="K54" s="408" t="s">
        <v>583</v>
      </c>
      <c r="L54" s="408" t="s">
        <v>789</v>
      </c>
    </row>
    <row r="55" spans="1:12">
      <c r="A55" s="408">
        <v>4050</v>
      </c>
      <c r="B55" s="812" t="s">
        <v>790</v>
      </c>
      <c r="C55" s="812"/>
      <c r="D55" s="408" t="s">
        <v>791</v>
      </c>
      <c r="E55" s="408" t="s">
        <v>792</v>
      </c>
      <c r="F55" s="408" t="s">
        <v>583</v>
      </c>
      <c r="G55" s="408" t="s">
        <v>793</v>
      </c>
      <c r="H55" s="408" t="s">
        <v>1020</v>
      </c>
      <c r="I55" s="408" t="s">
        <v>1021</v>
      </c>
      <c r="J55" s="408" t="s">
        <v>1022</v>
      </c>
      <c r="K55" s="408" t="s">
        <v>583</v>
      </c>
      <c r="L55" s="408" t="s">
        <v>1023</v>
      </c>
    </row>
    <row r="56" spans="1:12">
      <c r="A56" s="408">
        <v>4051</v>
      </c>
      <c r="B56" s="812" t="s">
        <v>796</v>
      </c>
      <c r="C56" s="812"/>
      <c r="D56" s="408" t="s">
        <v>797</v>
      </c>
      <c r="E56" s="408" t="s">
        <v>798</v>
      </c>
      <c r="F56" s="408" t="s">
        <v>583</v>
      </c>
      <c r="G56" s="408" t="s">
        <v>799</v>
      </c>
      <c r="H56" s="408" t="s">
        <v>583</v>
      </c>
      <c r="I56" s="408" t="s">
        <v>583</v>
      </c>
      <c r="J56" s="408" t="s">
        <v>583</v>
      </c>
      <c r="K56" s="408" t="s">
        <v>583</v>
      </c>
      <c r="L56" s="408" t="s">
        <v>799</v>
      </c>
    </row>
    <row r="57" spans="1:12">
      <c r="A57" s="408">
        <v>4080</v>
      </c>
      <c r="B57" s="812" t="s">
        <v>800</v>
      </c>
      <c r="C57" s="812"/>
      <c r="D57" s="408" t="s">
        <v>801</v>
      </c>
      <c r="E57" s="408" t="s">
        <v>583</v>
      </c>
      <c r="F57" s="408" t="s">
        <v>583</v>
      </c>
      <c r="G57" s="408" t="s">
        <v>801</v>
      </c>
      <c r="H57" s="408" t="s">
        <v>583</v>
      </c>
      <c r="I57" s="408" t="s">
        <v>583</v>
      </c>
      <c r="J57" s="408" t="s">
        <v>583</v>
      </c>
      <c r="K57" s="408" t="s">
        <v>583</v>
      </c>
      <c r="L57" s="408" t="s">
        <v>801</v>
      </c>
    </row>
    <row r="58" spans="1:12">
      <c r="A58" s="408">
        <v>4090</v>
      </c>
      <c r="B58" s="812" t="s">
        <v>802</v>
      </c>
      <c r="C58" s="812"/>
      <c r="D58" s="408" t="s">
        <v>803</v>
      </c>
      <c r="E58" s="408" t="s">
        <v>804</v>
      </c>
      <c r="F58" s="408" t="s">
        <v>583</v>
      </c>
      <c r="G58" s="408" t="s">
        <v>805</v>
      </c>
      <c r="H58" s="408" t="s">
        <v>1024</v>
      </c>
      <c r="I58" s="408" t="s">
        <v>1025</v>
      </c>
      <c r="J58" s="408" t="s">
        <v>1026</v>
      </c>
      <c r="K58" s="408" t="s">
        <v>583</v>
      </c>
      <c r="L58" s="408" t="s">
        <v>1027</v>
      </c>
    </row>
    <row r="59" spans="1:12">
      <c r="A59" s="408">
        <v>4160</v>
      </c>
      <c r="B59" s="812" t="s">
        <v>808</v>
      </c>
      <c r="C59" s="812"/>
      <c r="D59" s="408" t="s">
        <v>809</v>
      </c>
      <c r="E59" s="408" t="s">
        <v>810</v>
      </c>
      <c r="F59" s="408" t="s">
        <v>583</v>
      </c>
      <c r="G59" s="408" t="s">
        <v>811</v>
      </c>
      <c r="H59" s="408" t="s">
        <v>583</v>
      </c>
      <c r="I59" s="408" t="s">
        <v>583</v>
      </c>
      <c r="J59" s="408" t="s">
        <v>583</v>
      </c>
      <c r="K59" s="408" t="s">
        <v>583</v>
      </c>
      <c r="L59" s="408" t="s">
        <v>811</v>
      </c>
    </row>
    <row r="60" spans="1:12">
      <c r="A60" s="408">
        <v>4170</v>
      </c>
      <c r="B60" s="812" t="s">
        <v>812</v>
      </c>
      <c r="C60" s="812"/>
      <c r="D60" s="408" t="s">
        <v>813</v>
      </c>
      <c r="E60" s="408" t="s">
        <v>814</v>
      </c>
      <c r="F60" s="408" t="s">
        <v>583</v>
      </c>
      <c r="G60" s="408" t="s">
        <v>815</v>
      </c>
      <c r="H60" s="408" t="s">
        <v>1028</v>
      </c>
      <c r="I60" s="408" t="s">
        <v>583</v>
      </c>
      <c r="J60" s="408" t="s">
        <v>1028</v>
      </c>
      <c r="K60" s="408" t="s">
        <v>583</v>
      </c>
      <c r="L60" s="408" t="s">
        <v>1029</v>
      </c>
    </row>
    <row r="61" spans="1:12">
      <c r="A61" s="408">
        <v>4190</v>
      </c>
      <c r="B61" s="812" t="s">
        <v>818</v>
      </c>
      <c r="C61" s="812"/>
      <c r="D61" s="408" t="s">
        <v>819</v>
      </c>
      <c r="E61" s="408" t="s">
        <v>820</v>
      </c>
      <c r="F61" s="408" t="s">
        <v>583</v>
      </c>
      <c r="G61" s="408" t="s">
        <v>821</v>
      </c>
      <c r="H61" s="408" t="s">
        <v>1030</v>
      </c>
      <c r="I61" s="408" t="s">
        <v>583</v>
      </c>
      <c r="J61" s="408" t="s">
        <v>1030</v>
      </c>
      <c r="K61" s="408" t="s">
        <v>583</v>
      </c>
      <c r="L61" s="408" t="s">
        <v>1031</v>
      </c>
    </row>
    <row r="62" spans="1:12">
      <c r="A62" s="408">
        <v>4220</v>
      </c>
      <c r="B62" s="812" t="s">
        <v>822</v>
      </c>
      <c r="C62" s="812"/>
      <c r="D62" s="408" t="s">
        <v>823</v>
      </c>
      <c r="E62" s="408" t="s">
        <v>824</v>
      </c>
      <c r="F62" s="408" t="s">
        <v>583</v>
      </c>
      <c r="G62" s="408" t="s">
        <v>825</v>
      </c>
      <c r="H62" s="408" t="s">
        <v>1032</v>
      </c>
      <c r="I62" s="408" t="s">
        <v>583</v>
      </c>
      <c r="J62" s="408" t="s">
        <v>1032</v>
      </c>
      <c r="K62" s="408" t="s">
        <v>583</v>
      </c>
      <c r="L62" s="408" t="s">
        <v>1033</v>
      </c>
    </row>
    <row r="63" spans="1:12">
      <c r="A63" s="408">
        <v>4234</v>
      </c>
      <c r="B63" s="812" t="s">
        <v>828</v>
      </c>
      <c r="C63" s="812"/>
      <c r="D63" s="408" t="s">
        <v>829</v>
      </c>
      <c r="E63" s="408" t="s">
        <v>583</v>
      </c>
      <c r="F63" s="408" t="s">
        <v>583</v>
      </c>
      <c r="G63" s="408" t="s">
        <v>829</v>
      </c>
      <c r="H63" s="408" t="s">
        <v>583</v>
      </c>
      <c r="I63" s="408" t="s">
        <v>583</v>
      </c>
      <c r="J63" s="408" t="s">
        <v>583</v>
      </c>
      <c r="K63" s="408" t="s">
        <v>583</v>
      </c>
      <c r="L63" s="408" t="s">
        <v>829</v>
      </c>
    </row>
    <row r="64" spans="1:12">
      <c r="A64" s="408">
        <v>4270</v>
      </c>
      <c r="B64" s="812" t="s">
        <v>830</v>
      </c>
      <c r="C64" s="812"/>
      <c r="D64" s="408" t="s">
        <v>831</v>
      </c>
      <c r="E64" s="408" t="s">
        <v>832</v>
      </c>
      <c r="F64" s="408" t="s">
        <v>583</v>
      </c>
      <c r="G64" s="408" t="s">
        <v>833</v>
      </c>
      <c r="H64" s="408" t="s">
        <v>583</v>
      </c>
      <c r="I64" s="408" t="s">
        <v>1034</v>
      </c>
      <c r="J64" s="408" t="s">
        <v>1034</v>
      </c>
      <c r="K64" s="408" t="s">
        <v>583</v>
      </c>
      <c r="L64" s="408" t="s">
        <v>1035</v>
      </c>
    </row>
    <row r="65" spans="1:12">
      <c r="A65" s="408">
        <v>4290</v>
      </c>
      <c r="B65" s="812" t="s">
        <v>834</v>
      </c>
      <c r="C65" s="812"/>
      <c r="D65" s="408" t="s">
        <v>835</v>
      </c>
      <c r="E65" s="408" t="s">
        <v>583</v>
      </c>
      <c r="F65" s="408" t="s">
        <v>583</v>
      </c>
      <c r="G65" s="408" t="s">
        <v>835</v>
      </c>
      <c r="H65" s="408" t="s">
        <v>583</v>
      </c>
      <c r="I65" s="408" t="s">
        <v>583</v>
      </c>
      <c r="J65" s="408" t="s">
        <v>583</v>
      </c>
      <c r="K65" s="408" t="s">
        <v>583</v>
      </c>
      <c r="L65" s="408" t="s">
        <v>835</v>
      </c>
    </row>
    <row r="66" spans="1:12">
      <c r="A66" s="408">
        <v>4292</v>
      </c>
      <c r="B66" s="812" t="s">
        <v>836</v>
      </c>
      <c r="C66" s="812"/>
      <c r="D66" s="408" t="s">
        <v>837</v>
      </c>
      <c r="E66" s="408" t="s">
        <v>838</v>
      </c>
      <c r="F66" s="408" t="s">
        <v>583</v>
      </c>
      <c r="G66" s="408" t="s">
        <v>839</v>
      </c>
      <c r="H66" s="408" t="s">
        <v>583</v>
      </c>
      <c r="I66" s="408" t="s">
        <v>583</v>
      </c>
      <c r="J66" s="408" t="s">
        <v>583</v>
      </c>
      <c r="K66" s="408" t="s">
        <v>583</v>
      </c>
      <c r="L66" s="408" t="s">
        <v>839</v>
      </c>
    </row>
    <row r="67" spans="1:12">
      <c r="A67" s="408">
        <v>4293</v>
      </c>
      <c r="B67" s="812" t="s">
        <v>840</v>
      </c>
      <c r="C67" s="812"/>
      <c r="D67" s="408" t="s">
        <v>841</v>
      </c>
      <c r="E67" s="408" t="s">
        <v>842</v>
      </c>
      <c r="F67" s="408" t="s">
        <v>583</v>
      </c>
      <c r="G67" s="408" t="s">
        <v>843</v>
      </c>
      <c r="H67" s="408" t="s">
        <v>583</v>
      </c>
      <c r="I67" s="408" t="s">
        <v>583</v>
      </c>
      <c r="J67" s="408" t="s">
        <v>583</v>
      </c>
      <c r="K67" s="408" t="s">
        <v>583</v>
      </c>
      <c r="L67" s="408" t="s">
        <v>843</v>
      </c>
    </row>
    <row r="68" spans="1:12">
      <c r="A68" s="408">
        <v>4294</v>
      </c>
      <c r="B68" s="812" t="s">
        <v>844</v>
      </c>
      <c r="C68" s="812"/>
      <c r="D68" s="408" t="s">
        <v>845</v>
      </c>
      <c r="E68" s="408" t="s">
        <v>846</v>
      </c>
      <c r="F68" s="408" t="s">
        <v>583</v>
      </c>
      <c r="G68" s="408" t="s">
        <v>847</v>
      </c>
      <c r="H68" s="408" t="s">
        <v>583</v>
      </c>
      <c r="I68" s="408" t="s">
        <v>1036</v>
      </c>
      <c r="J68" s="408" t="s">
        <v>1036</v>
      </c>
      <c r="K68" s="408" t="s">
        <v>583</v>
      </c>
      <c r="L68" s="408" t="s">
        <v>1037</v>
      </c>
    </row>
    <row r="69" spans="1:12">
      <c r="A69" s="408">
        <v>4295</v>
      </c>
      <c r="B69" s="812" t="s">
        <v>848</v>
      </c>
      <c r="C69" s="812"/>
      <c r="D69" s="408" t="s">
        <v>849</v>
      </c>
      <c r="E69" s="408" t="s">
        <v>850</v>
      </c>
      <c r="F69" s="408" t="s">
        <v>583</v>
      </c>
      <c r="G69" s="408" t="s">
        <v>851</v>
      </c>
      <c r="H69" s="408" t="s">
        <v>1038</v>
      </c>
      <c r="I69" s="408" t="s">
        <v>583</v>
      </c>
      <c r="J69" s="408" t="s">
        <v>1038</v>
      </c>
      <c r="K69" s="408" t="s">
        <v>583</v>
      </c>
      <c r="L69" s="408" t="s">
        <v>1039</v>
      </c>
    </row>
    <row r="70" spans="1:12">
      <c r="A70" s="408">
        <v>4500</v>
      </c>
      <c r="B70" s="812" t="s">
        <v>852</v>
      </c>
      <c r="C70" s="812"/>
      <c r="D70" s="408" t="s">
        <v>853</v>
      </c>
      <c r="E70" s="408" t="s">
        <v>854</v>
      </c>
      <c r="F70" s="408" t="s">
        <v>583</v>
      </c>
      <c r="G70" s="408" t="s">
        <v>855</v>
      </c>
      <c r="H70" s="408" t="s">
        <v>1040</v>
      </c>
      <c r="I70" s="408" t="s">
        <v>1041</v>
      </c>
      <c r="J70" s="408" t="s">
        <v>1042</v>
      </c>
      <c r="K70" s="408" t="s">
        <v>583</v>
      </c>
      <c r="L70" s="408" t="s">
        <v>1043</v>
      </c>
    </row>
    <row r="71" spans="1:12">
      <c r="A71" s="408">
        <v>4501</v>
      </c>
      <c r="B71" s="812" t="s">
        <v>858</v>
      </c>
      <c r="C71" s="812"/>
      <c r="D71" s="408" t="s">
        <v>859</v>
      </c>
      <c r="E71" s="408" t="s">
        <v>860</v>
      </c>
      <c r="F71" s="408" t="s">
        <v>583</v>
      </c>
      <c r="G71" s="408" t="s">
        <v>861</v>
      </c>
      <c r="H71" s="408" t="s">
        <v>1044</v>
      </c>
      <c r="I71" s="408" t="s">
        <v>1045</v>
      </c>
      <c r="J71" s="408" t="s">
        <v>1046</v>
      </c>
      <c r="K71" s="408" t="s">
        <v>583</v>
      </c>
      <c r="L71" s="408" t="s">
        <v>1047</v>
      </c>
    </row>
    <row r="72" spans="1:12">
      <c r="A72" s="408">
        <v>4502</v>
      </c>
      <c r="B72" s="812" t="s">
        <v>864</v>
      </c>
      <c r="C72" s="812"/>
      <c r="D72" s="408" t="s">
        <v>865</v>
      </c>
      <c r="E72" s="408" t="s">
        <v>866</v>
      </c>
      <c r="F72" s="408" t="s">
        <v>583</v>
      </c>
      <c r="G72" s="408" t="s">
        <v>867</v>
      </c>
      <c r="H72" s="408" t="s">
        <v>1048</v>
      </c>
      <c r="I72" s="408" t="s">
        <v>1049</v>
      </c>
      <c r="J72" s="408" t="s">
        <v>1050</v>
      </c>
      <c r="K72" s="408" t="s">
        <v>583</v>
      </c>
      <c r="L72" s="408" t="s">
        <v>1051</v>
      </c>
    </row>
    <row r="73" spans="1:12">
      <c r="A73" s="408">
        <v>4503</v>
      </c>
      <c r="B73" s="812" t="s">
        <v>870</v>
      </c>
      <c r="C73" s="812"/>
      <c r="D73" s="408" t="s">
        <v>871</v>
      </c>
      <c r="E73" s="408" t="s">
        <v>872</v>
      </c>
      <c r="F73" s="408" t="s">
        <v>583</v>
      </c>
      <c r="G73" s="408" t="s">
        <v>873</v>
      </c>
      <c r="H73" s="408" t="s">
        <v>1052</v>
      </c>
      <c r="I73" s="408" t="s">
        <v>1053</v>
      </c>
      <c r="J73" s="408" t="s">
        <v>1054</v>
      </c>
      <c r="K73" s="408" t="s">
        <v>583</v>
      </c>
      <c r="L73" s="408" t="s">
        <v>1055</v>
      </c>
    </row>
    <row r="74" spans="1:12">
      <c r="A74" s="408">
        <v>4504</v>
      </c>
      <c r="B74" s="812" t="s">
        <v>876</v>
      </c>
      <c r="C74" s="812"/>
      <c r="D74" s="408" t="s">
        <v>877</v>
      </c>
      <c r="E74" s="408" t="s">
        <v>878</v>
      </c>
      <c r="F74" s="408" t="s">
        <v>583</v>
      </c>
      <c r="G74" s="408" t="s">
        <v>879</v>
      </c>
      <c r="H74" s="408" t="s">
        <v>583</v>
      </c>
      <c r="I74" s="408" t="s">
        <v>1056</v>
      </c>
      <c r="J74" s="408" t="s">
        <v>1056</v>
      </c>
      <c r="K74" s="408" t="s">
        <v>583</v>
      </c>
      <c r="L74" s="408" t="s">
        <v>1057</v>
      </c>
    </row>
    <row r="75" spans="1:12">
      <c r="A75" s="408">
        <v>4505</v>
      </c>
      <c r="B75" s="812" t="s">
        <v>880</v>
      </c>
      <c r="C75" s="812"/>
      <c r="D75" s="408" t="s">
        <v>881</v>
      </c>
      <c r="E75" s="408" t="s">
        <v>882</v>
      </c>
      <c r="F75" s="408" t="s">
        <v>583</v>
      </c>
      <c r="G75" s="408" t="s">
        <v>883</v>
      </c>
      <c r="H75" s="408" t="s">
        <v>1058</v>
      </c>
      <c r="I75" s="408" t="s">
        <v>583</v>
      </c>
      <c r="J75" s="408" t="s">
        <v>1058</v>
      </c>
      <c r="K75" s="408" t="s">
        <v>583</v>
      </c>
      <c r="L75" s="408" t="s">
        <v>1059</v>
      </c>
    </row>
    <row r="76" spans="1:12">
      <c r="A76" s="408">
        <v>4506</v>
      </c>
      <c r="B76" s="812" t="s">
        <v>886</v>
      </c>
      <c r="C76" s="812"/>
      <c r="D76" s="408" t="s">
        <v>887</v>
      </c>
      <c r="E76" s="408" t="s">
        <v>888</v>
      </c>
      <c r="F76" s="408" t="s">
        <v>583</v>
      </c>
      <c r="G76" s="408" t="s">
        <v>889</v>
      </c>
      <c r="H76" s="408" t="s">
        <v>583</v>
      </c>
      <c r="I76" s="408" t="s">
        <v>583</v>
      </c>
      <c r="J76" s="408" t="s">
        <v>583</v>
      </c>
      <c r="K76" s="408" t="s">
        <v>583</v>
      </c>
      <c r="L76" s="408" t="s">
        <v>889</v>
      </c>
    </row>
    <row r="77" spans="1:12">
      <c r="A77" s="408">
        <v>4507</v>
      </c>
      <c r="B77" s="812" t="s">
        <v>890</v>
      </c>
      <c r="C77" s="812"/>
      <c r="D77" s="408" t="s">
        <v>891</v>
      </c>
      <c r="E77" s="408" t="s">
        <v>892</v>
      </c>
      <c r="F77" s="408" t="s">
        <v>583</v>
      </c>
      <c r="G77" s="408" t="s">
        <v>893</v>
      </c>
      <c r="H77" s="408" t="s">
        <v>583</v>
      </c>
      <c r="I77" s="408" t="s">
        <v>583</v>
      </c>
      <c r="J77" s="408" t="s">
        <v>583</v>
      </c>
      <c r="K77" s="408" t="s">
        <v>583</v>
      </c>
      <c r="L77" s="408" t="s">
        <v>893</v>
      </c>
    </row>
    <row r="78" spans="1:12">
      <c r="A78" s="408">
        <v>4509</v>
      </c>
      <c r="B78" s="812" t="s">
        <v>894</v>
      </c>
      <c r="C78" s="812"/>
      <c r="D78" s="408" t="s">
        <v>895</v>
      </c>
      <c r="E78" s="408" t="s">
        <v>896</v>
      </c>
      <c r="F78" s="408" t="s">
        <v>583</v>
      </c>
      <c r="G78" s="408" t="s">
        <v>897</v>
      </c>
      <c r="H78" s="408" t="s">
        <v>583</v>
      </c>
      <c r="I78" s="408" t="s">
        <v>583</v>
      </c>
      <c r="J78" s="408" t="s">
        <v>583</v>
      </c>
      <c r="K78" s="408" t="s">
        <v>583</v>
      </c>
      <c r="L78" s="408" t="s">
        <v>897</v>
      </c>
    </row>
    <row r="79" spans="1:12">
      <c r="A79" s="408">
        <v>4510</v>
      </c>
      <c r="B79" s="812" t="s">
        <v>1060</v>
      </c>
      <c r="C79" s="812"/>
      <c r="D79" s="408" t="s">
        <v>583</v>
      </c>
      <c r="E79" s="408" t="s">
        <v>583</v>
      </c>
      <c r="F79" s="408" t="s">
        <v>583</v>
      </c>
      <c r="G79" s="408" t="s">
        <v>583</v>
      </c>
      <c r="H79" s="408" t="s">
        <v>583</v>
      </c>
      <c r="I79" s="408" t="s">
        <v>1061</v>
      </c>
      <c r="J79" s="408" t="s">
        <v>1061</v>
      </c>
      <c r="K79" s="408" t="s">
        <v>583</v>
      </c>
      <c r="L79" s="408" t="s">
        <v>1062</v>
      </c>
    </row>
    <row r="80" spans="1:12">
      <c r="A80" s="408">
        <v>4511</v>
      </c>
      <c r="B80" s="812" t="s">
        <v>898</v>
      </c>
      <c r="C80" s="812"/>
      <c r="D80" s="408" t="s">
        <v>899</v>
      </c>
      <c r="E80" s="408" t="s">
        <v>900</v>
      </c>
      <c r="F80" s="408" t="s">
        <v>583</v>
      </c>
      <c r="G80" s="408" t="s">
        <v>901</v>
      </c>
      <c r="H80" s="408" t="s">
        <v>1063</v>
      </c>
      <c r="I80" s="408" t="s">
        <v>1064</v>
      </c>
      <c r="J80" s="408" t="s">
        <v>1065</v>
      </c>
      <c r="K80" s="408" t="s">
        <v>583</v>
      </c>
      <c r="L80" s="408" t="s">
        <v>1066</v>
      </c>
    </row>
    <row r="81" spans="1:12">
      <c r="A81" s="408">
        <v>4512</v>
      </c>
      <c r="B81" s="812" t="s">
        <v>906</v>
      </c>
      <c r="C81" s="812"/>
      <c r="D81" s="408" t="s">
        <v>907</v>
      </c>
      <c r="E81" s="408" t="s">
        <v>908</v>
      </c>
      <c r="F81" s="408" t="s">
        <v>583</v>
      </c>
      <c r="G81" s="408" t="s">
        <v>909</v>
      </c>
      <c r="H81" s="408" t="s">
        <v>583</v>
      </c>
      <c r="I81" s="408" t="s">
        <v>583</v>
      </c>
      <c r="J81" s="408" t="s">
        <v>583</v>
      </c>
      <c r="K81" s="408" t="s">
        <v>583</v>
      </c>
      <c r="L81" s="408" t="s">
        <v>909</v>
      </c>
    </row>
    <row r="82" spans="1:12">
      <c r="A82" s="408">
        <v>4710</v>
      </c>
      <c r="B82" s="812" t="s">
        <v>1067</v>
      </c>
      <c r="C82" s="812"/>
      <c r="D82" s="408" t="s">
        <v>583</v>
      </c>
      <c r="E82" s="408" t="s">
        <v>583</v>
      </c>
      <c r="F82" s="408" t="s">
        <v>583</v>
      </c>
      <c r="G82" s="408" t="s">
        <v>583</v>
      </c>
      <c r="H82" s="408" t="s">
        <v>583</v>
      </c>
      <c r="I82" s="408" t="s">
        <v>1068</v>
      </c>
      <c r="J82" s="408" t="s">
        <v>1068</v>
      </c>
      <c r="K82" s="408" t="s">
        <v>583</v>
      </c>
      <c r="L82" s="408" t="s">
        <v>1069</v>
      </c>
    </row>
    <row r="83" spans="1:12">
      <c r="A83" s="408">
        <v>4931</v>
      </c>
      <c r="B83" s="812" t="s">
        <v>840</v>
      </c>
      <c r="C83" s="812"/>
      <c r="D83" s="408" t="s">
        <v>583</v>
      </c>
      <c r="E83" s="408" t="s">
        <v>583</v>
      </c>
      <c r="F83" s="408" t="s">
        <v>583</v>
      </c>
      <c r="G83" s="408" t="s">
        <v>583</v>
      </c>
      <c r="H83" s="408" t="s">
        <v>583</v>
      </c>
      <c r="I83" s="408" t="s">
        <v>1070</v>
      </c>
      <c r="J83" s="408" t="s">
        <v>1070</v>
      </c>
      <c r="K83" s="408" t="s">
        <v>583</v>
      </c>
      <c r="L83" s="408" t="s">
        <v>1071</v>
      </c>
    </row>
    <row r="84" spans="1:12">
      <c r="A84" s="408">
        <v>4986</v>
      </c>
      <c r="B84" s="812" t="s">
        <v>910</v>
      </c>
      <c r="C84" s="812"/>
      <c r="D84" s="408" t="s">
        <v>911</v>
      </c>
      <c r="E84" s="408" t="s">
        <v>583</v>
      </c>
      <c r="F84" s="408" t="s">
        <v>583</v>
      </c>
      <c r="G84" s="408" t="s">
        <v>911</v>
      </c>
      <c r="H84" s="408" t="s">
        <v>583</v>
      </c>
      <c r="I84" s="408" t="s">
        <v>583</v>
      </c>
      <c r="J84" s="408" t="s">
        <v>583</v>
      </c>
      <c r="K84" s="408" t="s">
        <v>583</v>
      </c>
      <c r="L84" s="408" t="s">
        <v>911</v>
      </c>
    </row>
    <row r="85" spans="1:12">
      <c r="A85" s="408">
        <v>8001</v>
      </c>
      <c r="B85" s="812" t="s">
        <v>912</v>
      </c>
      <c r="C85" s="812"/>
      <c r="D85" s="408" t="s">
        <v>913</v>
      </c>
      <c r="E85" s="408" t="s">
        <v>583</v>
      </c>
      <c r="F85" s="408" t="s">
        <v>583</v>
      </c>
      <c r="G85" s="408" t="s">
        <v>913</v>
      </c>
      <c r="H85" s="408" t="s">
        <v>583</v>
      </c>
      <c r="I85" s="408" t="s">
        <v>583</v>
      </c>
      <c r="J85" s="408" t="s">
        <v>583</v>
      </c>
      <c r="K85" s="408" t="s">
        <v>583</v>
      </c>
      <c r="L85" s="408" t="s">
        <v>913</v>
      </c>
    </row>
    <row r="86" spans="1:12">
      <c r="A86" s="408">
        <v>8024</v>
      </c>
      <c r="B86" s="812" t="s">
        <v>914</v>
      </c>
      <c r="C86" s="812"/>
      <c r="D86" s="408" t="s">
        <v>915</v>
      </c>
      <c r="E86" s="408" t="s">
        <v>583</v>
      </c>
      <c r="F86" s="408" t="s">
        <v>583</v>
      </c>
      <c r="G86" s="408" t="s">
        <v>915</v>
      </c>
      <c r="H86" s="408" t="s">
        <v>583</v>
      </c>
      <c r="I86" s="408" t="s">
        <v>583</v>
      </c>
      <c r="J86" s="408" t="s">
        <v>583</v>
      </c>
      <c r="K86" s="408" t="s">
        <v>583</v>
      </c>
      <c r="L86" s="408" t="s">
        <v>915</v>
      </c>
    </row>
    <row r="87" spans="1:12">
      <c r="A87" s="408">
        <v>8050</v>
      </c>
      <c r="B87" s="812" t="s">
        <v>916</v>
      </c>
      <c r="C87" s="812"/>
      <c r="D87" s="408" t="s">
        <v>917</v>
      </c>
      <c r="E87" s="408" t="s">
        <v>583</v>
      </c>
      <c r="F87" s="408" t="s">
        <v>583</v>
      </c>
      <c r="G87" s="408" t="s">
        <v>917</v>
      </c>
      <c r="H87" s="408" t="s">
        <v>583</v>
      </c>
      <c r="I87" s="408" t="s">
        <v>583</v>
      </c>
      <c r="J87" s="408" t="s">
        <v>583</v>
      </c>
      <c r="K87" s="408" t="s">
        <v>583</v>
      </c>
      <c r="L87" s="408" t="s">
        <v>917</v>
      </c>
    </row>
    <row r="89" spans="1:12">
      <c r="A89" s="815" t="s">
        <v>211</v>
      </c>
      <c r="B89" s="815"/>
      <c r="C89" s="815"/>
      <c r="D89" s="409" t="s">
        <v>918</v>
      </c>
      <c r="E89" s="409" t="s">
        <v>919</v>
      </c>
      <c r="F89" s="409" t="s">
        <v>574</v>
      </c>
      <c r="G89" s="409" t="s">
        <v>920</v>
      </c>
      <c r="H89" s="409" t="s">
        <v>1072</v>
      </c>
      <c r="I89" s="409" t="s">
        <v>1073</v>
      </c>
      <c r="J89" s="409" t="s">
        <v>1074</v>
      </c>
      <c r="K89" s="409" t="s">
        <v>574</v>
      </c>
      <c r="L89" s="409" t="s">
        <v>1075</v>
      </c>
    </row>
  </sheetData>
  <mergeCells count="90">
    <mergeCell ref="A89:C89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76:C76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64:C64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6:C16"/>
    <mergeCell ref="J6:J7"/>
    <mergeCell ref="K6:K7"/>
    <mergeCell ref="L6:L7"/>
    <mergeCell ref="B8:C8"/>
    <mergeCell ref="B9:C9"/>
    <mergeCell ref="B10:C10"/>
    <mergeCell ref="D6:D7"/>
    <mergeCell ref="E6:E7"/>
    <mergeCell ref="F6:F7"/>
    <mergeCell ref="G6:G7"/>
    <mergeCell ref="H6:H7"/>
    <mergeCell ref="I6:I7"/>
    <mergeCell ref="B11:C11"/>
    <mergeCell ref="B12:C12"/>
    <mergeCell ref="B13:C13"/>
  </mergeCell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83"/>
  <sheetViews>
    <sheetView workbookViewId="0">
      <selection activeCell="G8" sqref="G8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1" max="11" width="11.7109375" customWidth="1"/>
    <col min="12" max="12" width="13.7109375" customWidth="1"/>
  </cols>
  <sheetData>
    <row r="1" spans="1:12">
      <c r="A1" s="405" t="s">
        <v>557</v>
      </c>
    </row>
    <row r="2" spans="1:12">
      <c r="A2" s="405" t="s">
        <v>558</v>
      </c>
    </row>
    <row r="4" spans="1:12">
      <c r="A4" s="405" t="s">
        <v>559</v>
      </c>
      <c r="C4" s="406" t="s">
        <v>560</v>
      </c>
    </row>
    <row r="6" spans="1:12">
      <c r="D6" s="813" t="s">
        <v>561</v>
      </c>
      <c r="E6" s="813" t="s">
        <v>562</v>
      </c>
      <c r="F6" s="813" t="s">
        <v>563</v>
      </c>
      <c r="G6" s="813" t="s">
        <v>564</v>
      </c>
      <c r="H6" s="813" t="s">
        <v>565</v>
      </c>
      <c r="I6" s="813" t="s">
        <v>566</v>
      </c>
      <c r="J6" s="813" t="s">
        <v>567</v>
      </c>
      <c r="K6" s="813" t="s">
        <v>568</v>
      </c>
      <c r="L6" s="813" t="s">
        <v>569</v>
      </c>
    </row>
    <row r="7" spans="1:12">
      <c r="A7" s="407" t="s">
        <v>570</v>
      </c>
      <c r="D7" s="814"/>
      <c r="E7" s="814"/>
      <c r="F7" s="814"/>
      <c r="G7" s="814"/>
      <c r="H7" s="814"/>
      <c r="I7" s="814"/>
      <c r="J7" s="814"/>
      <c r="K7" s="814"/>
      <c r="L7" s="814"/>
    </row>
    <row r="8" spans="1:12">
      <c r="A8" s="408">
        <v>1</v>
      </c>
      <c r="B8" s="812" t="s">
        <v>571</v>
      </c>
      <c r="C8" s="812"/>
      <c r="D8" s="408" t="s">
        <v>572</v>
      </c>
      <c r="E8" s="408" t="s">
        <v>573</v>
      </c>
      <c r="F8" s="408" t="s">
        <v>574</v>
      </c>
      <c r="G8" s="408" t="s">
        <v>575</v>
      </c>
      <c r="H8" s="408" t="s">
        <v>576</v>
      </c>
      <c r="I8" s="408" t="s">
        <v>577</v>
      </c>
      <c r="J8" s="408" t="s">
        <v>578</v>
      </c>
      <c r="K8" s="408" t="s">
        <v>574</v>
      </c>
      <c r="L8" s="408" t="s">
        <v>579</v>
      </c>
    </row>
    <row r="9" spans="1:12">
      <c r="A9" s="408">
        <v>20</v>
      </c>
      <c r="B9" s="812" t="s">
        <v>580</v>
      </c>
      <c r="C9" s="812"/>
      <c r="D9" s="408" t="s">
        <v>581</v>
      </c>
      <c r="E9" s="408" t="s">
        <v>582</v>
      </c>
      <c r="F9" s="408" t="s">
        <v>583</v>
      </c>
      <c r="G9" s="408" t="s">
        <v>584</v>
      </c>
      <c r="H9" s="408" t="s">
        <v>585</v>
      </c>
      <c r="I9" s="408" t="s">
        <v>586</v>
      </c>
      <c r="J9" s="408" t="s">
        <v>587</v>
      </c>
      <c r="K9" s="408" t="s">
        <v>583</v>
      </c>
      <c r="L9" s="408" t="s">
        <v>588</v>
      </c>
    </row>
    <row r="10" spans="1:12">
      <c r="A10" s="408">
        <v>31</v>
      </c>
      <c r="B10" s="812" t="s">
        <v>589</v>
      </c>
      <c r="C10" s="812"/>
      <c r="D10" s="408" t="s">
        <v>590</v>
      </c>
      <c r="E10" s="408" t="s">
        <v>591</v>
      </c>
      <c r="F10" s="408" t="s">
        <v>583</v>
      </c>
      <c r="G10" s="408" t="s">
        <v>592</v>
      </c>
      <c r="H10" s="408" t="s">
        <v>593</v>
      </c>
      <c r="I10" s="408" t="s">
        <v>583</v>
      </c>
      <c r="J10" s="408" t="s">
        <v>593</v>
      </c>
      <c r="K10" s="408" t="s">
        <v>583</v>
      </c>
      <c r="L10" s="408" t="s">
        <v>594</v>
      </c>
    </row>
    <row r="11" spans="1:12">
      <c r="A11" s="408">
        <v>40</v>
      </c>
      <c r="B11" s="812" t="s">
        <v>595</v>
      </c>
      <c r="C11" s="812"/>
      <c r="D11" s="408" t="s">
        <v>596</v>
      </c>
      <c r="E11" s="408" t="s">
        <v>597</v>
      </c>
      <c r="F11" s="408" t="s">
        <v>583</v>
      </c>
      <c r="G11" s="408" t="s">
        <v>598</v>
      </c>
      <c r="H11" s="408" t="s">
        <v>599</v>
      </c>
      <c r="I11" s="408" t="s">
        <v>600</v>
      </c>
      <c r="J11" s="408" t="s">
        <v>601</v>
      </c>
      <c r="K11" s="408" t="s">
        <v>583</v>
      </c>
      <c r="L11" s="408" t="s">
        <v>602</v>
      </c>
    </row>
    <row r="12" spans="1:12">
      <c r="A12" s="408">
        <v>50</v>
      </c>
      <c r="B12" s="812" t="s">
        <v>603</v>
      </c>
      <c r="C12" s="812"/>
      <c r="D12" s="408" t="s">
        <v>604</v>
      </c>
      <c r="E12" s="408" t="s">
        <v>605</v>
      </c>
      <c r="F12" s="408" t="s">
        <v>583</v>
      </c>
      <c r="G12" s="408" t="s">
        <v>606</v>
      </c>
      <c r="H12" s="408" t="s">
        <v>607</v>
      </c>
      <c r="I12" s="408" t="s">
        <v>583</v>
      </c>
      <c r="J12" s="408" t="s">
        <v>607</v>
      </c>
      <c r="K12" s="408" t="s">
        <v>583</v>
      </c>
      <c r="L12" s="408" t="s">
        <v>608</v>
      </c>
    </row>
    <row r="13" spans="1:12">
      <c r="A13" s="408">
        <v>900</v>
      </c>
      <c r="B13" s="812" t="s">
        <v>609</v>
      </c>
      <c r="C13" s="812"/>
      <c r="D13" s="408" t="s">
        <v>610</v>
      </c>
      <c r="E13" s="408" t="s">
        <v>583</v>
      </c>
      <c r="F13" s="408" t="s">
        <v>583</v>
      </c>
      <c r="G13" s="408" t="s">
        <v>610</v>
      </c>
      <c r="H13" s="408" t="s">
        <v>583</v>
      </c>
      <c r="I13" s="408" t="s">
        <v>583</v>
      </c>
      <c r="J13" s="408" t="s">
        <v>583</v>
      </c>
      <c r="K13" s="408" t="s">
        <v>583</v>
      </c>
      <c r="L13" s="408" t="s">
        <v>610</v>
      </c>
    </row>
    <row r="14" spans="1:12">
      <c r="A14" s="408">
        <v>1022</v>
      </c>
      <c r="B14" s="812" t="s">
        <v>611</v>
      </c>
      <c r="C14" s="812"/>
      <c r="D14" s="408" t="s">
        <v>612</v>
      </c>
      <c r="E14" s="408" t="s">
        <v>613</v>
      </c>
      <c r="F14" s="408" t="s">
        <v>583</v>
      </c>
      <c r="G14" s="408" t="s">
        <v>614</v>
      </c>
      <c r="H14" s="408" t="s">
        <v>615</v>
      </c>
      <c r="I14" s="408" t="s">
        <v>583</v>
      </c>
      <c r="J14" s="408" t="s">
        <v>615</v>
      </c>
      <c r="K14" s="408" t="s">
        <v>583</v>
      </c>
      <c r="L14" s="408" t="s">
        <v>616</v>
      </c>
    </row>
    <row r="15" spans="1:12">
      <c r="A15" s="408">
        <v>1023</v>
      </c>
      <c r="B15" s="812" t="s">
        <v>617</v>
      </c>
      <c r="C15" s="812"/>
      <c r="D15" s="408" t="s">
        <v>618</v>
      </c>
      <c r="E15" s="408" t="s">
        <v>619</v>
      </c>
      <c r="F15" s="408" t="s">
        <v>583</v>
      </c>
      <c r="G15" s="408" t="s">
        <v>620</v>
      </c>
      <c r="H15" s="408" t="s">
        <v>621</v>
      </c>
      <c r="I15" s="408" t="s">
        <v>622</v>
      </c>
      <c r="J15" s="408" t="s">
        <v>623</v>
      </c>
      <c r="K15" s="408" t="s">
        <v>583</v>
      </c>
      <c r="L15" s="408" t="s">
        <v>624</v>
      </c>
    </row>
    <row r="16" spans="1:12">
      <c r="A16" s="408">
        <v>1024</v>
      </c>
      <c r="B16" s="812" t="s">
        <v>625</v>
      </c>
      <c r="C16" s="812"/>
      <c r="D16" s="408" t="s">
        <v>626</v>
      </c>
      <c r="E16" s="408" t="s">
        <v>627</v>
      </c>
      <c r="F16" s="408" t="s">
        <v>583</v>
      </c>
      <c r="G16" s="408" t="s">
        <v>628</v>
      </c>
      <c r="H16" s="408" t="s">
        <v>583</v>
      </c>
      <c r="I16" s="408" t="s">
        <v>583</v>
      </c>
      <c r="J16" s="408" t="s">
        <v>583</v>
      </c>
      <c r="K16" s="408" t="s">
        <v>583</v>
      </c>
      <c r="L16" s="408" t="s">
        <v>628</v>
      </c>
    </row>
    <row r="17" spans="1:12">
      <c r="A17" s="408">
        <v>1025</v>
      </c>
      <c r="B17" s="812" t="s">
        <v>629</v>
      </c>
      <c r="C17" s="812"/>
      <c r="D17" s="408" t="s">
        <v>630</v>
      </c>
      <c r="E17" s="408" t="s">
        <v>631</v>
      </c>
      <c r="F17" s="408" t="s">
        <v>583</v>
      </c>
      <c r="G17" s="408" t="s">
        <v>632</v>
      </c>
      <c r="H17" s="408" t="s">
        <v>583</v>
      </c>
      <c r="I17" s="408" t="s">
        <v>583</v>
      </c>
      <c r="J17" s="408" t="s">
        <v>583</v>
      </c>
      <c r="K17" s="408" t="s">
        <v>583</v>
      </c>
      <c r="L17" s="408" t="s">
        <v>632</v>
      </c>
    </row>
    <row r="18" spans="1:12">
      <c r="A18" s="408">
        <v>1026</v>
      </c>
      <c r="B18" s="812" t="s">
        <v>633</v>
      </c>
      <c r="C18" s="812"/>
      <c r="D18" s="408" t="s">
        <v>634</v>
      </c>
      <c r="E18" s="408" t="s">
        <v>635</v>
      </c>
      <c r="F18" s="408" t="s">
        <v>583</v>
      </c>
      <c r="G18" s="408" t="s">
        <v>636</v>
      </c>
      <c r="H18" s="408" t="s">
        <v>583</v>
      </c>
      <c r="I18" s="408" t="s">
        <v>583</v>
      </c>
      <c r="J18" s="408" t="s">
        <v>583</v>
      </c>
      <c r="K18" s="408" t="s">
        <v>583</v>
      </c>
      <c r="L18" s="408" t="s">
        <v>636</v>
      </c>
    </row>
    <row r="19" spans="1:12">
      <c r="A19" s="408">
        <v>1031</v>
      </c>
      <c r="B19" s="812" t="s">
        <v>637</v>
      </c>
      <c r="C19" s="812"/>
      <c r="D19" s="408" t="s">
        <v>638</v>
      </c>
      <c r="E19" s="408" t="s">
        <v>639</v>
      </c>
      <c r="F19" s="408" t="s">
        <v>583</v>
      </c>
      <c r="G19" s="408" t="s">
        <v>640</v>
      </c>
      <c r="H19" s="408" t="s">
        <v>583</v>
      </c>
      <c r="I19" s="408" t="s">
        <v>583</v>
      </c>
      <c r="J19" s="408" t="s">
        <v>583</v>
      </c>
      <c r="K19" s="408" t="s">
        <v>583</v>
      </c>
      <c r="L19" s="408" t="s">
        <v>640</v>
      </c>
    </row>
    <row r="20" spans="1:12">
      <c r="A20" s="408">
        <v>1101</v>
      </c>
      <c r="B20" s="812" t="s">
        <v>641</v>
      </c>
      <c r="C20" s="812"/>
      <c r="D20" s="408" t="s">
        <v>642</v>
      </c>
      <c r="E20" s="408" t="s">
        <v>643</v>
      </c>
      <c r="F20" s="408" t="s">
        <v>583</v>
      </c>
      <c r="G20" s="408" t="s">
        <v>644</v>
      </c>
      <c r="H20" s="408" t="s">
        <v>583</v>
      </c>
      <c r="I20" s="408" t="s">
        <v>583</v>
      </c>
      <c r="J20" s="408" t="s">
        <v>583</v>
      </c>
      <c r="K20" s="408" t="s">
        <v>583</v>
      </c>
      <c r="L20" s="408" t="s">
        <v>644</v>
      </c>
    </row>
    <row r="21" spans="1:12">
      <c r="A21" s="408">
        <v>1103</v>
      </c>
      <c r="B21" s="812" t="s">
        <v>645</v>
      </c>
      <c r="C21" s="812"/>
      <c r="D21" s="408" t="s">
        <v>646</v>
      </c>
      <c r="E21" s="408" t="s">
        <v>647</v>
      </c>
      <c r="F21" s="408" t="s">
        <v>583</v>
      </c>
      <c r="G21" s="408" t="s">
        <v>648</v>
      </c>
      <c r="H21" s="408" t="s">
        <v>649</v>
      </c>
      <c r="I21" s="408" t="s">
        <v>583</v>
      </c>
      <c r="J21" s="408" t="s">
        <v>649</v>
      </c>
      <c r="K21" s="408" t="s">
        <v>583</v>
      </c>
      <c r="L21" s="408" t="s">
        <v>650</v>
      </c>
    </row>
    <row r="22" spans="1:12">
      <c r="A22" s="408">
        <v>1104</v>
      </c>
      <c r="B22" s="812" t="s">
        <v>651</v>
      </c>
      <c r="C22" s="812"/>
      <c r="D22" s="408" t="s">
        <v>652</v>
      </c>
      <c r="E22" s="408" t="s">
        <v>653</v>
      </c>
      <c r="F22" s="408" t="s">
        <v>583</v>
      </c>
      <c r="G22" s="408" t="s">
        <v>654</v>
      </c>
      <c r="H22" s="408" t="s">
        <v>583</v>
      </c>
      <c r="I22" s="408" t="s">
        <v>583</v>
      </c>
      <c r="J22" s="408" t="s">
        <v>583</v>
      </c>
      <c r="K22" s="408" t="s">
        <v>583</v>
      </c>
      <c r="L22" s="408" t="s">
        <v>654</v>
      </c>
    </row>
    <row r="23" spans="1:12">
      <c r="A23" s="408">
        <v>1121</v>
      </c>
      <c r="B23" s="812" t="s">
        <v>655</v>
      </c>
      <c r="C23" s="812"/>
      <c r="D23" s="408" t="s">
        <v>656</v>
      </c>
      <c r="E23" s="408" t="s">
        <v>657</v>
      </c>
      <c r="F23" s="408" t="s">
        <v>583</v>
      </c>
      <c r="G23" s="408" t="s">
        <v>658</v>
      </c>
      <c r="H23" s="408" t="s">
        <v>659</v>
      </c>
      <c r="I23" s="408" t="s">
        <v>583</v>
      </c>
      <c r="J23" s="408" t="s">
        <v>659</v>
      </c>
      <c r="K23" s="408" t="s">
        <v>583</v>
      </c>
      <c r="L23" s="408" t="s">
        <v>660</v>
      </c>
    </row>
    <row r="24" spans="1:12">
      <c r="A24" s="408">
        <v>1122</v>
      </c>
      <c r="B24" s="812" t="s">
        <v>661</v>
      </c>
      <c r="C24" s="812"/>
      <c r="D24" s="408" t="s">
        <v>662</v>
      </c>
      <c r="E24" s="408" t="s">
        <v>663</v>
      </c>
      <c r="F24" s="408" t="s">
        <v>583</v>
      </c>
      <c r="G24" s="408" t="s">
        <v>664</v>
      </c>
      <c r="H24" s="408" t="s">
        <v>583</v>
      </c>
      <c r="I24" s="408" t="s">
        <v>583</v>
      </c>
      <c r="J24" s="408" t="s">
        <v>583</v>
      </c>
      <c r="K24" s="408" t="s">
        <v>583</v>
      </c>
      <c r="L24" s="408" t="s">
        <v>664</v>
      </c>
    </row>
    <row r="25" spans="1:12">
      <c r="A25" s="408">
        <v>1123</v>
      </c>
      <c r="B25" s="812" t="s">
        <v>665</v>
      </c>
      <c r="C25" s="812"/>
      <c r="D25" s="408" t="s">
        <v>666</v>
      </c>
      <c r="E25" s="408" t="s">
        <v>667</v>
      </c>
      <c r="F25" s="408" t="s">
        <v>583</v>
      </c>
      <c r="G25" s="408" t="s">
        <v>668</v>
      </c>
      <c r="H25" s="408" t="s">
        <v>583</v>
      </c>
      <c r="I25" s="408" t="s">
        <v>583</v>
      </c>
      <c r="J25" s="408" t="s">
        <v>583</v>
      </c>
      <c r="K25" s="408" t="s">
        <v>583</v>
      </c>
      <c r="L25" s="408" t="s">
        <v>668</v>
      </c>
    </row>
    <row r="26" spans="1:12">
      <c r="A26" s="408">
        <v>1124</v>
      </c>
      <c r="B26" s="812" t="s">
        <v>669</v>
      </c>
      <c r="C26" s="812"/>
      <c r="D26" s="408" t="s">
        <v>670</v>
      </c>
      <c r="E26" s="408" t="s">
        <v>671</v>
      </c>
      <c r="F26" s="408" t="s">
        <v>583</v>
      </c>
      <c r="G26" s="408" t="s">
        <v>672</v>
      </c>
      <c r="H26" s="408" t="s">
        <v>673</v>
      </c>
      <c r="I26" s="408" t="s">
        <v>583</v>
      </c>
      <c r="J26" s="408" t="s">
        <v>673</v>
      </c>
      <c r="K26" s="408" t="s">
        <v>583</v>
      </c>
      <c r="L26" s="408" t="s">
        <v>674</v>
      </c>
    </row>
    <row r="27" spans="1:12">
      <c r="A27" s="408">
        <v>1180</v>
      </c>
      <c r="B27" s="812" t="s">
        <v>675</v>
      </c>
      <c r="C27" s="812"/>
      <c r="D27" s="408" t="s">
        <v>676</v>
      </c>
      <c r="E27" s="408" t="s">
        <v>583</v>
      </c>
      <c r="F27" s="408" t="s">
        <v>583</v>
      </c>
      <c r="G27" s="408" t="s">
        <v>676</v>
      </c>
      <c r="H27" s="408" t="s">
        <v>583</v>
      </c>
      <c r="I27" s="408" t="s">
        <v>583</v>
      </c>
      <c r="J27" s="408" t="s">
        <v>583</v>
      </c>
      <c r="K27" s="408" t="s">
        <v>583</v>
      </c>
      <c r="L27" s="408" t="s">
        <v>676</v>
      </c>
    </row>
    <row r="28" spans="1:12">
      <c r="A28" s="408">
        <v>1181</v>
      </c>
      <c r="B28" s="812" t="s">
        <v>677</v>
      </c>
      <c r="C28" s="812"/>
      <c r="D28" s="408" t="s">
        <v>678</v>
      </c>
      <c r="E28" s="408" t="s">
        <v>679</v>
      </c>
      <c r="F28" s="408" t="s">
        <v>583</v>
      </c>
      <c r="G28" s="408" t="s">
        <v>680</v>
      </c>
      <c r="H28" s="408" t="s">
        <v>583</v>
      </c>
      <c r="I28" s="408" t="s">
        <v>583</v>
      </c>
      <c r="J28" s="408" t="s">
        <v>583</v>
      </c>
      <c r="K28" s="408" t="s">
        <v>583</v>
      </c>
      <c r="L28" s="408" t="s">
        <v>680</v>
      </c>
    </row>
    <row r="29" spans="1:12">
      <c r="A29" s="408">
        <v>1182</v>
      </c>
      <c r="B29" s="812" t="s">
        <v>681</v>
      </c>
      <c r="C29" s="812"/>
      <c r="D29" s="408" t="s">
        <v>682</v>
      </c>
      <c r="E29" s="408" t="s">
        <v>683</v>
      </c>
      <c r="F29" s="408" t="s">
        <v>583</v>
      </c>
      <c r="G29" s="408" t="s">
        <v>684</v>
      </c>
      <c r="H29" s="408" t="s">
        <v>685</v>
      </c>
      <c r="I29" s="408" t="s">
        <v>686</v>
      </c>
      <c r="J29" s="408" t="s">
        <v>687</v>
      </c>
      <c r="K29" s="408" t="s">
        <v>583</v>
      </c>
      <c r="L29" s="408" t="s">
        <v>688</v>
      </c>
    </row>
    <row r="30" spans="1:12">
      <c r="A30" s="408">
        <v>1184</v>
      </c>
      <c r="B30" s="812" t="s">
        <v>689</v>
      </c>
      <c r="C30" s="812"/>
      <c r="D30" s="408" t="s">
        <v>690</v>
      </c>
      <c r="E30" s="408" t="s">
        <v>691</v>
      </c>
      <c r="F30" s="408" t="s">
        <v>583</v>
      </c>
      <c r="G30" s="408" t="s">
        <v>692</v>
      </c>
      <c r="H30" s="408" t="s">
        <v>693</v>
      </c>
      <c r="I30" s="408" t="s">
        <v>694</v>
      </c>
      <c r="J30" s="408" t="s">
        <v>695</v>
      </c>
      <c r="K30" s="408" t="s">
        <v>583</v>
      </c>
      <c r="L30" s="408" t="s">
        <v>696</v>
      </c>
    </row>
    <row r="31" spans="1:12">
      <c r="A31" s="408">
        <v>1186</v>
      </c>
      <c r="B31" s="812" t="s">
        <v>697</v>
      </c>
      <c r="C31" s="812"/>
      <c r="D31" s="408" t="s">
        <v>698</v>
      </c>
      <c r="E31" s="408" t="s">
        <v>699</v>
      </c>
      <c r="F31" s="408" t="s">
        <v>583</v>
      </c>
      <c r="G31" s="408" t="s">
        <v>700</v>
      </c>
      <c r="H31" s="408" t="s">
        <v>583</v>
      </c>
      <c r="I31" s="408" t="s">
        <v>583</v>
      </c>
      <c r="J31" s="408" t="s">
        <v>583</v>
      </c>
      <c r="K31" s="408" t="s">
        <v>583</v>
      </c>
      <c r="L31" s="408" t="s">
        <v>700</v>
      </c>
    </row>
    <row r="32" spans="1:12">
      <c r="A32" s="408">
        <v>1187</v>
      </c>
      <c r="B32" s="812" t="s">
        <v>701</v>
      </c>
      <c r="C32" s="812"/>
      <c r="D32" s="408" t="s">
        <v>702</v>
      </c>
      <c r="E32" s="408" t="s">
        <v>703</v>
      </c>
      <c r="F32" s="408" t="s">
        <v>583</v>
      </c>
      <c r="G32" s="408" t="s">
        <v>704</v>
      </c>
      <c r="H32" s="408" t="s">
        <v>583</v>
      </c>
      <c r="I32" s="408" t="s">
        <v>583</v>
      </c>
      <c r="J32" s="408" t="s">
        <v>583</v>
      </c>
      <c r="K32" s="408" t="s">
        <v>583</v>
      </c>
      <c r="L32" s="408" t="s">
        <v>704</v>
      </c>
    </row>
    <row r="33" spans="1:12">
      <c r="A33" s="408">
        <v>1188</v>
      </c>
      <c r="B33" s="812" t="s">
        <v>705</v>
      </c>
      <c r="C33" s="812"/>
      <c r="D33" s="408" t="s">
        <v>706</v>
      </c>
      <c r="E33" s="408" t="s">
        <v>707</v>
      </c>
      <c r="F33" s="408" t="s">
        <v>583</v>
      </c>
      <c r="G33" s="408" t="s">
        <v>708</v>
      </c>
      <c r="H33" s="408" t="s">
        <v>709</v>
      </c>
      <c r="I33" s="408" t="s">
        <v>583</v>
      </c>
      <c r="J33" s="408" t="s">
        <v>709</v>
      </c>
      <c r="K33" s="408" t="s">
        <v>583</v>
      </c>
      <c r="L33" s="408" t="s">
        <v>710</v>
      </c>
    </row>
    <row r="34" spans="1:12">
      <c r="A34" s="408">
        <v>1190</v>
      </c>
      <c r="B34" s="812" t="s">
        <v>711</v>
      </c>
      <c r="C34" s="812"/>
      <c r="D34" s="408" t="s">
        <v>712</v>
      </c>
      <c r="E34" s="408" t="s">
        <v>713</v>
      </c>
      <c r="F34" s="408" t="s">
        <v>583</v>
      </c>
      <c r="G34" s="408" t="s">
        <v>714</v>
      </c>
      <c r="H34" s="408" t="s">
        <v>715</v>
      </c>
      <c r="I34" s="408" t="s">
        <v>583</v>
      </c>
      <c r="J34" s="408" t="s">
        <v>715</v>
      </c>
      <c r="K34" s="408" t="s">
        <v>583</v>
      </c>
      <c r="L34" s="408" t="s">
        <v>716</v>
      </c>
    </row>
    <row r="35" spans="1:12">
      <c r="A35" s="408">
        <v>1500</v>
      </c>
      <c r="B35" s="812" t="s">
        <v>166</v>
      </c>
      <c r="C35" s="812"/>
      <c r="D35" s="408" t="s">
        <v>717</v>
      </c>
      <c r="E35" s="408" t="s">
        <v>718</v>
      </c>
      <c r="F35" s="408" t="s">
        <v>583</v>
      </c>
      <c r="G35" s="408" t="s">
        <v>719</v>
      </c>
      <c r="H35" s="408" t="s">
        <v>720</v>
      </c>
      <c r="I35" s="408" t="s">
        <v>583</v>
      </c>
      <c r="J35" s="408" t="s">
        <v>720</v>
      </c>
      <c r="K35" s="408" t="s">
        <v>583</v>
      </c>
      <c r="L35" s="408" t="s">
        <v>721</v>
      </c>
    </row>
    <row r="36" spans="1:12">
      <c r="A36" s="408">
        <v>3812</v>
      </c>
      <c r="B36" s="812" t="s">
        <v>722</v>
      </c>
      <c r="C36" s="812"/>
      <c r="D36" s="408" t="s">
        <v>723</v>
      </c>
      <c r="E36" s="408" t="s">
        <v>724</v>
      </c>
      <c r="F36" s="408" t="s">
        <v>583</v>
      </c>
      <c r="G36" s="408" t="s">
        <v>725</v>
      </c>
      <c r="H36" s="408" t="s">
        <v>583</v>
      </c>
      <c r="I36" s="408" t="s">
        <v>583</v>
      </c>
      <c r="J36" s="408" t="s">
        <v>583</v>
      </c>
      <c r="K36" s="408" t="s">
        <v>583</v>
      </c>
      <c r="L36" s="408" t="s">
        <v>725</v>
      </c>
    </row>
    <row r="37" spans="1:12">
      <c r="A37" s="408">
        <v>3813</v>
      </c>
      <c r="B37" s="812" t="s">
        <v>726</v>
      </c>
      <c r="C37" s="812"/>
      <c r="D37" s="408" t="s">
        <v>727</v>
      </c>
      <c r="E37" s="408" t="s">
        <v>728</v>
      </c>
      <c r="F37" s="408" t="s">
        <v>583</v>
      </c>
      <c r="G37" s="408" t="s">
        <v>729</v>
      </c>
      <c r="H37" s="408" t="s">
        <v>583</v>
      </c>
      <c r="I37" s="408" t="s">
        <v>583</v>
      </c>
      <c r="J37" s="408" t="s">
        <v>583</v>
      </c>
      <c r="K37" s="408" t="s">
        <v>583</v>
      </c>
      <c r="L37" s="408" t="s">
        <v>729</v>
      </c>
    </row>
    <row r="38" spans="1:12">
      <c r="A38" s="408">
        <v>3818</v>
      </c>
      <c r="B38" s="812" t="s">
        <v>730</v>
      </c>
      <c r="C38" s="812"/>
      <c r="D38" s="408" t="s">
        <v>731</v>
      </c>
      <c r="E38" s="408" t="s">
        <v>732</v>
      </c>
      <c r="F38" s="408" t="s">
        <v>583</v>
      </c>
      <c r="G38" s="408" t="s">
        <v>733</v>
      </c>
      <c r="H38" s="408" t="s">
        <v>583</v>
      </c>
      <c r="I38" s="408" t="s">
        <v>583</v>
      </c>
      <c r="J38" s="408" t="s">
        <v>583</v>
      </c>
      <c r="K38" s="408" t="s">
        <v>583</v>
      </c>
      <c r="L38" s="408" t="s">
        <v>733</v>
      </c>
    </row>
    <row r="39" spans="1:12">
      <c r="A39" s="408">
        <v>3819</v>
      </c>
      <c r="B39" s="812" t="s">
        <v>734</v>
      </c>
      <c r="C39" s="812"/>
      <c r="D39" s="408" t="s">
        <v>735</v>
      </c>
      <c r="E39" s="408" t="s">
        <v>736</v>
      </c>
      <c r="F39" s="408" t="s">
        <v>583</v>
      </c>
      <c r="G39" s="408" t="s">
        <v>737</v>
      </c>
      <c r="H39" s="408" t="s">
        <v>583</v>
      </c>
      <c r="I39" s="408" t="s">
        <v>583</v>
      </c>
      <c r="J39" s="408" t="s">
        <v>583</v>
      </c>
      <c r="K39" s="408" t="s">
        <v>583</v>
      </c>
      <c r="L39" s="408" t="s">
        <v>737</v>
      </c>
    </row>
    <row r="40" spans="1:12">
      <c r="A40" s="408">
        <v>3821</v>
      </c>
      <c r="B40" s="812" t="s">
        <v>738</v>
      </c>
      <c r="C40" s="812"/>
      <c r="D40" s="408" t="s">
        <v>739</v>
      </c>
      <c r="E40" s="408" t="s">
        <v>740</v>
      </c>
      <c r="F40" s="408" t="s">
        <v>583</v>
      </c>
      <c r="G40" s="408" t="s">
        <v>741</v>
      </c>
      <c r="H40" s="408" t="s">
        <v>583</v>
      </c>
      <c r="I40" s="408" t="s">
        <v>583</v>
      </c>
      <c r="J40" s="408" t="s">
        <v>583</v>
      </c>
      <c r="K40" s="408" t="s">
        <v>583</v>
      </c>
      <c r="L40" s="408" t="s">
        <v>741</v>
      </c>
    </row>
    <row r="41" spans="1:12">
      <c r="A41" s="408">
        <v>3822</v>
      </c>
      <c r="B41" s="812" t="s">
        <v>742</v>
      </c>
      <c r="C41" s="812"/>
      <c r="D41" s="408" t="s">
        <v>743</v>
      </c>
      <c r="E41" s="408" t="s">
        <v>744</v>
      </c>
      <c r="F41" s="408" t="s">
        <v>583</v>
      </c>
      <c r="G41" s="408" t="s">
        <v>745</v>
      </c>
      <c r="H41" s="408" t="s">
        <v>583</v>
      </c>
      <c r="I41" s="408" t="s">
        <v>583</v>
      </c>
      <c r="J41" s="408" t="s">
        <v>583</v>
      </c>
      <c r="K41" s="408" t="s">
        <v>583</v>
      </c>
      <c r="L41" s="408" t="s">
        <v>745</v>
      </c>
    </row>
    <row r="42" spans="1:12">
      <c r="A42" s="408">
        <v>3826</v>
      </c>
      <c r="B42" s="812" t="s">
        <v>746</v>
      </c>
      <c r="C42" s="812"/>
      <c r="D42" s="408" t="s">
        <v>747</v>
      </c>
      <c r="E42" s="408" t="s">
        <v>748</v>
      </c>
      <c r="F42" s="408" t="s">
        <v>583</v>
      </c>
      <c r="G42" s="408" t="s">
        <v>749</v>
      </c>
      <c r="H42" s="408" t="s">
        <v>583</v>
      </c>
      <c r="I42" s="408" t="s">
        <v>583</v>
      </c>
      <c r="J42" s="408" t="s">
        <v>583</v>
      </c>
      <c r="K42" s="408" t="s">
        <v>583</v>
      </c>
      <c r="L42" s="408" t="s">
        <v>749</v>
      </c>
    </row>
    <row r="43" spans="1:12">
      <c r="A43" s="408">
        <v>3827</v>
      </c>
      <c r="B43" s="812" t="s">
        <v>750</v>
      </c>
      <c r="C43" s="812"/>
      <c r="D43" s="408" t="s">
        <v>751</v>
      </c>
      <c r="E43" s="408" t="s">
        <v>752</v>
      </c>
      <c r="F43" s="408" t="s">
        <v>583</v>
      </c>
      <c r="G43" s="408" t="s">
        <v>753</v>
      </c>
      <c r="H43" s="408" t="s">
        <v>754</v>
      </c>
      <c r="I43" s="408" t="s">
        <v>583</v>
      </c>
      <c r="J43" s="408" t="s">
        <v>754</v>
      </c>
      <c r="K43" s="408" t="s">
        <v>583</v>
      </c>
      <c r="L43" s="408" t="s">
        <v>755</v>
      </c>
    </row>
    <row r="44" spans="1:12">
      <c r="A44" s="408">
        <v>3831</v>
      </c>
      <c r="B44" s="812" t="s">
        <v>756</v>
      </c>
      <c r="C44" s="812"/>
      <c r="D44" s="408" t="s">
        <v>757</v>
      </c>
      <c r="E44" s="408" t="s">
        <v>758</v>
      </c>
      <c r="F44" s="408" t="s">
        <v>583</v>
      </c>
      <c r="G44" s="408" t="s">
        <v>759</v>
      </c>
      <c r="H44" s="408" t="s">
        <v>583</v>
      </c>
      <c r="I44" s="408" t="s">
        <v>760</v>
      </c>
      <c r="J44" s="408" t="s">
        <v>760</v>
      </c>
      <c r="K44" s="408" t="s">
        <v>583</v>
      </c>
      <c r="L44" s="408" t="s">
        <v>761</v>
      </c>
    </row>
    <row r="45" spans="1:12">
      <c r="A45" s="408">
        <v>3832</v>
      </c>
      <c r="B45" s="812" t="s">
        <v>762</v>
      </c>
      <c r="C45" s="812"/>
      <c r="D45" s="408" t="s">
        <v>763</v>
      </c>
      <c r="E45" s="408" t="s">
        <v>764</v>
      </c>
      <c r="F45" s="408" t="s">
        <v>583</v>
      </c>
      <c r="G45" s="408" t="s">
        <v>765</v>
      </c>
      <c r="H45" s="408" t="s">
        <v>583</v>
      </c>
      <c r="I45" s="408" t="s">
        <v>766</v>
      </c>
      <c r="J45" s="408" t="s">
        <v>766</v>
      </c>
      <c r="K45" s="408" t="s">
        <v>583</v>
      </c>
      <c r="L45" s="408" t="s">
        <v>767</v>
      </c>
    </row>
    <row r="46" spans="1:12">
      <c r="A46" s="408">
        <v>3833</v>
      </c>
      <c r="B46" s="812" t="s">
        <v>768</v>
      </c>
      <c r="C46" s="812"/>
      <c r="D46" s="408" t="s">
        <v>769</v>
      </c>
      <c r="E46" s="408" t="s">
        <v>770</v>
      </c>
      <c r="F46" s="408" t="s">
        <v>583</v>
      </c>
      <c r="G46" s="408" t="s">
        <v>771</v>
      </c>
      <c r="H46" s="408" t="s">
        <v>583</v>
      </c>
      <c r="I46" s="408" t="s">
        <v>583</v>
      </c>
      <c r="J46" s="408" t="s">
        <v>583</v>
      </c>
      <c r="K46" s="408" t="s">
        <v>583</v>
      </c>
      <c r="L46" s="408" t="s">
        <v>771</v>
      </c>
    </row>
    <row r="47" spans="1:12">
      <c r="A47" s="408">
        <v>3836</v>
      </c>
      <c r="B47" s="812" t="s">
        <v>772</v>
      </c>
      <c r="C47" s="812"/>
      <c r="D47" s="408" t="s">
        <v>583</v>
      </c>
      <c r="E47" s="408" t="s">
        <v>773</v>
      </c>
      <c r="F47" s="408" t="s">
        <v>583</v>
      </c>
      <c r="G47" s="408" t="s">
        <v>773</v>
      </c>
      <c r="H47" s="408" t="s">
        <v>583</v>
      </c>
      <c r="I47" s="408" t="s">
        <v>583</v>
      </c>
      <c r="J47" s="408" t="s">
        <v>583</v>
      </c>
      <c r="K47" s="408" t="s">
        <v>583</v>
      </c>
      <c r="L47" s="408" t="s">
        <v>773</v>
      </c>
    </row>
    <row r="48" spans="1:12">
      <c r="A48" s="408">
        <v>4000</v>
      </c>
      <c r="B48" s="812" t="s">
        <v>774</v>
      </c>
      <c r="C48" s="812"/>
      <c r="D48" s="408" t="s">
        <v>775</v>
      </c>
      <c r="E48" s="408" t="s">
        <v>583</v>
      </c>
      <c r="F48" s="408" t="s">
        <v>583</v>
      </c>
      <c r="G48" s="408" t="s">
        <v>775</v>
      </c>
      <c r="H48" s="408" t="s">
        <v>583</v>
      </c>
      <c r="I48" s="408" t="s">
        <v>583</v>
      </c>
      <c r="J48" s="408" t="s">
        <v>583</v>
      </c>
      <c r="K48" s="408" t="s">
        <v>583</v>
      </c>
      <c r="L48" s="408" t="s">
        <v>775</v>
      </c>
    </row>
    <row r="49" spans="1:12">
      <c r="A49" s="408">
        <v>4001</v>
      </c>
      <c r="B49" s="812" t="s">
        <v>776</v>
      </c>
      <c r="C49" s="812"/>
      <c r="D49" s="408" t="s">
        <v>777</v>
      </c>
      <c r="E49" s="408" t="s">
        <v>778</v>
      </c>
      <c r="F49" s="408" t="s">
        <v>583</v>
      </c>
      <c r="G49" s="408" t="s">
        <v>779</v>
      </c>
      <c r="H49" s="408" t="s">
        <v>780</v>
      </c>
      <c r="I49" s="408" t="s">
        <v>583</v>
      </c>
      <c r="J49" s="408" t="s">
        <v>780</v>
      </c>
      <c r="K49" s="408" t="s">
        <v>583</v>
      </c>
      <c r="L49" s="408" t="s">
        <v>781</v>
      </c>
    </row>
    <row r="50" spans="1:12">
      <c r="A50" s="408">
        <v>4011</v>
      </c>
      <c r="B50" s="812" t="s">
        <v>782</v>
      </c>
      <c r="C50" s="812"/>
      <c r="D50" s="408" t="s">
        <v>783</v>
      </c>
      <c r="E50" s="408" t="s">
        <v>784</v>
      </c>
      <c r="F50" s="408" t="s">
        <v>583</v>
      </c>
      <c r="G50" s="408" t="s">
        <v>785</v>
      </c>
      <c r="H50" s="408" t="s">
        <v>786</v>
      </c>
      <c r="I50" s="408" t="s">
        <v>583</v>
      </c>
      <c r="J50" s="408" t="s">
        <v>786</v>
      </c>
      <c r="K50" s="408" t="s">
        <v>583</v>
      </c>
      <c r="L50" s="408" t="s">
        <v>787</v>
      </c>
    </row>
    <row r="51" spans="1:12">
      <c r="A51" s="408">
        <v>4030</v>
      </c>
      <c r="B51" s="812" t="s">
        <v>788</v>
      </c>
      <c r="C51" s="812"/>
      <c r="D51" s="408" t="s">
        <v>789</v>
      </c>
      <c r="E51" s="408" t="s">
        <v>583</v>
      </c>
      <c r="F51" s="408" t="s">
        <v>583</v>
      </c>
      <c r="G51" s="408" t="s">
        <v>789</v>
      </c>
      <c r="H51" s="408" t="s">
        <v>583</v>
      </c>
      <c r="I51" s="408" t="s">
        <v>583</v>
      </c>
      <c r="J51" s="408" t="s">
        <v>583</v>
      </c>
      <c r="K51" s="408" t="s">
        <v>583</v>
      </c>
      <c r="L51" s="408" t="s">
        <v>789</v>
      </c>
    </row>
    <row r="52" spans="1:12">
      <c r="A52" s="408">
        <v>4050</v>
      </c>
      <c r="B52" s="812" t="s">
        <v>790</v>
      </c>
      <c r="C52" s="812"/>
      <c r="D52" s="408" t="s">
        <v>791</v>
      </c>
      <c r="E52" s="408" t="s">
        <v>792</v>
      </c>
      <c r="F52" s="408" t="s">
        <v>583</v>
      </c>
      <c r="G52" s="408" t="s">
        <v>793</v>
      </c>
      <c r="H52" s="408" t="s">
        <v>794</v>
      </c>
      <c r="I52" s="408" t="s">
        <v>583</v>
      </c>
      <c r="J52" s="408" t="s">
        <v>794</v>
      </c>
      <c r="K52" s="408" t="s">
        <v>583</v>
      </c>
      <c r="L52" s="408" t="s">
        <v>795</v>
      </c>
    </row>
    <row r="53" spans="1:12">
      <c r="A53" s="408">
        <v>4051</v>
      </c>
      <c r="B53" s="812" t="s">
        <v>796</v>
      </c>
      <c r="C53" s="812"/>
      <c r="D53" s="408" t="s">
        <v>797</v>
      </c>
      <c r="E53" s="408" t="s">
        <v>798</v>
      </c>
      <c r="F53" s="408" t="s">
        <v>583</v>
      </c>
      <c r="G53" s="408" t="s">
        <v>799</v>
      </c>
      <c r="H53" s="408" t="s">
        <v>583</v>
      </c>
      <c r="I53" s="408" t="s">
        <v>583</v>
      </c>
      <c r="J53" s="408" t="s">
        <v>583</v>
      </c>
      <c r="K53" s="408" t="s">
        <v>583</v>
      </c>
      <c r="L53" s="408" t="s">
        <v>799</v>
      </c>
    </row>
    <row r="54" spans="1:12">
      <c r="A54" s="408">
        <v>4080</v>
      </c>
      <c r="B54" s="812" t="s">
        <v>800</v>
      </c>
      <c r="C54" s="812"/>
      <c r="D54" s="408" t="s">
        <v>801</v>
      </c>
      <c r="E54" s="408" t="s">
        <v>583</v>
      </c>
      <c r="F54" s="408" t="s">
        <v>583</v>
      </c>
      <c r="G54" s="408" t="s">
        <v>801</v>
      </c>
      <c r="H54" s="408" t="s">
        <v>583</v>
      </c>
      <c r="I54" s="408" t="s">
        <v>583</v>
      </c>
      <c r="J54" s="408" t="s">
        <v>583</v>
      </c>
      <c r="K54" s="408" t="s">
        <v>583</v>
      </c>
      <c r="L54" s="408" t="s">
        <v>801</v>
      </c>
    </row>
    <row r="55" spans="1:12">
      <c r="A55" s="408">
        <v>4090</v>
      </c>
      <c r="B55" s="812" t="s">
        <v>802</v>
      </c>
      <c r="C55" s="812"/>
      <c r="D55" s="408" t="s">
        <v>803</v>
      </c>
      <c r="E55" s="408" t="s">
        <v>804</v>
      </c>
      <c r="F55" s="408" t="s">
        <v>583</v>
      </c>
      <c r="G55" s="408" t="s">
        <v>805</v>
      </c>
      <c r="H55" s="408" t="s">
        <v>806</v>
      </c>
      <c r="I55" s="408" t="s">
        <v>583</v>
      </c>
      <c r="J55" s="408" t="s">
        <v>806</v>
      </c>
      <c r="K55" s="408" t="s">
        <v>583</v>
      </c>
      <c r="L55" s="408" t="s">
        <v>807</v>
      </c>
    </row>
    <row r="56" spans="1:12">
      <c r="A56" s="408">
        <v>4160</v>
      </c>
      <c r="B56" s="812" t="s">
        <v>808</v>
      </c>
      <c r="C56" s="812"/>
      <c r="D56" s="408" t="s">
        <v>809</v>
      </c>
      <c r="E56" s="408" t="s">
        <v>810</v>
      </c>
      <c r="F56" s="408" t="s">
        <v>583</v>
      </c>
      <c r="G56" s="408" t="s">
        <v>811</v>
      </c>
      <c r="H56" s="408" t="s">
        <v>583</v>
      </c>
      <c r="I56" s="408" t="s">
        <v>583</v>
      </c>
      <c r="J56" s="408" t="s">
        <v>583</v>
      </c>
      <c r="K56" s="408" t="s">
        <v>583</v>
      </c>
      <c r="L56" s="408" t="s">
        <v>811</v>
      </c>
    </row>
    <row r="57" spans="1:12">
      <c r="A57" s="408">
        <v>4170</v>
      </c>
      <c r="B57" s="812" t="s">
        <v>812</v>
      </c>
      <c r="C57" s="812"/>
      <c r="D57" s="408" t="s">
        <v>813</v>
      </c>
      <c r="E57" s="408" t="s">
        <v>814</v>
      </c>
      <c r="F57" s="408" t="s">
        <v>583</v>
      </c>
      <c r="G57" s="408" t="s">
        <v>815</v>
      </c>
      <c r="H57" s="408" t="s">
        <v>816</v>
      </c>
      <c r="I57" s="408" t="s">
        <v>583</v>
      </c>
      <c r="J57" s="408" t="s">
        <v>816</v>
      </c>
      <c r="K57" s="408" t="s">
        <v>583</v>
      </c>
      <c r="L57" s="408" t="s">
        <v>817</v>
      </c>
    </row>
    <row r="58" spans="1:12">
      <c r="A58" s="408">
        <v>4190</v>
      </c>
      <c r="B58" s="812" t="s">
        <v>818</v>
      </c>
      <c r="C58" s="812"/>
      <c r="D58" s="408" t="s">
        <v>819</v>
      </c>
      <c r="E58" s="408" t="s">
        <v>820</v>
      </c>
      <c r="F58" s="408" t="s">
        <v>583</v>
      </c>
      <c r="G58" s="408" t="s">
        <v>821</v>
      </c>
      <c r="H58" s="408" t="s">
        <v>583</v>
      </c>
      <c r="I58" s="408" t="s">
        <v>583</v>
      </c>
      <c r="J58" s="408" t="s">
        <v>583</v>
      </c>
      <c r="K58" s="408" t="s">
        <v>583</v>
      </c>
      <c r="L58" s="408" t="s">
        <v>821</v>
      </c>
    </row>
    <row r="59" spans="1:12">
      <c r="A59" s="408">
        <v>4220</v>
      </c>
      <c r="B59" s="812" t="s">
        <v>822</v>
      </c>
      <c r="C59" s="812"/>
      <c r="D59" s="408" t="s">
        <v>823</v>
      </c>
      <c r="E59" s="408" t="s">
        <v>824</v>
      </c>
      <c r="F59" s="408" t="s">
        <v>583</v>
      </c>
      <c r="G59" s="408" t="s">
        <v>825</v>
      </c>
      <c r="H59" s="408" t="s">
        <v>826</v>
      </c>
      <c r="I59" s="408" t="s">
        <v>583</v>
      </c>
      <c r="J59" s="408" t="s">
        <v>826</v>
      </c>
      <c r="K59" s="408" t="s">
        <v>583</v>
      </c>
      <c r="L59" s="408" t="s">
        <v>827</v>
      </c>
    </row>
    <row r="60" spans="1:12">
      <c r="A60" s="408">
        <v>4234</v>
      </c>
      <c r="B60" s="812" t="s">
        <v>828</v>
      </c>
      <c r="C60" s="812"/>
      <c r="D60" s="408" t="s">
        <v>829</v>
      </c>
      <c r="E60" s="408" t="s">
        <v>583</v>
      </c>
      <c r="F60" s="408" t="s">
        <v>583</v>
      </c>
      <c r="G60" s="408" t="s">
        <v>829</v>
      </c>
      <c r="H60" s="408" t="s">
        <v>583</v>
      </c>
      <c r="I60" s="408" t="s">
        <v>583</v>
      </c>
      <c r="J60" s="408" t="s">
        <v>583</v>
      </c>
      <c r="K60" s="408" t="s">
        <v>583</v>
      </c>
      <c r="L60" s="408" t="s">
        <v>829</v>
      </c>
    </row>
    <row r="61" spans="1:12">
      <c r="A61" s="408">
        <v>4270</v>
      </c>
      <c r="B61" s="812" t="s">
        <v>830</v>
      </c>
      <c r="C61" s="812"/>
      <c r="D61" s="408" t="s">
        <v>831</v>
      </c>
      <c r="E61" s="408" t="s">
        <v>832</v>
      </c>
      <c r="F61" s="408" t="s">
        <v>583</v>
      </c>
      <c r="G61" s="408" t="s">
        <v>833</v>
      </c>
      <c r="H61" s="408" t="s">
        <v>583</v>
      </c>
      <c r="I61" s="408" t="s">
        <v>583</v>
      </c>
      <c r="J61" s="408" t="s">
        <v>583</v>
      </c>
      <c r="K61" s="408" t="s">
        <v>583</v>
      </c>
      <c r="L61" s="408" t="s">
        <v>833</v>
      </c>
    </row>
    <row r="62" spans="1:12">
      <c r="A62" s="408">
        <v>4290</v>
      </c>
      <c r="B62" s="812" t="s">
        <v>834</v>
      </c>
      <c r="C62" s="812"/>
      <c r="D62" s="408" t="s">
        <v>835</v>
      </c>
      <c r="E62" s="408" t="s">
        <v>583</v>
      </c>
      <c r="F62" s="408" t="s">
        <v>583</v>
      </c>
      <c r="G62" s="408" t="s">
        <v>835</v>
      </c>
      <c r="H62" s="408" t="s">
        <v>583</v>
      </c>
      <c r="I62" s="408" t="s">
        <v>583</v>
      </c>
      <c r="J62" s="408" t="s">
        <v>583</v>
      </c>
      <c r="K62" s="408" t="s">
        <v>583</v>
      </c>
      <c r="L62" s="408" t="s">
        <v>835</v>
      </c>
    </row>
    <row r="63" spans="1:12">
      <c r="A63" s="408">
        <v>4292</v>
      </c>
      <c r="B63" s="812" t="s">
        <v>836</v>
      </c>
      <c r="C63" s="812"/>
      <c r="D63" s="408" t="s">
        <v>837</v>
      </c>
      <c r="E63" s="408" t="s">
        <v>838</v>
      </c>
      <c r="F63" s="408" t="s">
        <v>583</v>
      </c>
      <c r="G63" s="408" t="s">
        <v>839</v>
      </c>
      <c r="H63" s="408" t="s">
        <v>583</v>
      </c>
      <c r="I63" s="408" t="s">
        <v>583</v>
      </c>
      <c r="J63" s="408" t="s">
        <v>583</v>
      </c>
      <c r="K63" s="408" t="s">
        <v>583</v>
      </c>
      <c r="L63" s="408" t="s">
        <v>839</v>
      </c>
    </row>
    <row r="64" spans="1:12">
      <c r="A64" s="408">
        <v>4293</v>
      </c>
      <c r="B64" s="812" t="s">
        <v>840</v>
      </c>
      <c r="C64" s="812"/>
      <c r="D64" s="408" t="s">
        <v>841</v>
      </c>
      <c r="E64" s="408" t="s">
        <v>842</v>
      </c>
      <c r="F64" s="408" t="s">
        <v>583</v>
      </c>
      <c r="G64" s="408" t="s">
        <v>843</v>
      </c>
      <c r="H64" s="408" t="s">
        <v>583</v>
      </c>
      <c r="I64" s="408" t="s">
        <v>583</v>
      </c>
      <c r="J64" s="408" t="s">
        <v>583</v>
      </c>
      <c r="K64" s="408" t="s">
        <v>583</v>
      </c>
      <c r="L64" s="408" t="s">
        <v>843</v>
      </c>
    </row>
    <row r="65" spans="1:12">
      <c r="A65" s="408">
        <v>4294</v>
      </c>
      <c r="B65" s="812" t="s">
        <v>844</v>
      </c>
      <c r="C65" s="812"/>
      <c r="D65" s="408" t="s">
        <v>845</v>
      </c>
      <c r="E65" s="408" t="s">
        <v>846</v>
      </c>
      <c r="F65" s="408" t="s">
        <v>583</v>
      </c>
      <c r="G65" s="408" t="s">
        <v>847</v>
      </c>
      <c r="H65" s="408" t="s">
        <v>583</v>
      </c>
      <c r="I65" s="408" t="s">
        <v>583</v>
      </c>
      <c r="J65" s="408" t="s">
        <v>583</v>
      </c>
      <c r="K65" s="408" t="s">
        <v>583</v>
      </c>
      <c r="L65" s="408" t="s">
        <v>847</v>
      </c>
    </row>
    <row r="66" spans="1:12">
      <c r="A66" s="408">
        <v>4295</v>
      </c>
      <c r="B66" s="812" t="s">
        <v>848</v>
      </c>
      <c r="C66" s="812"/>
      <c r="D66" s="408" t="s">
        <v>849</v>
      </c>
      <c r="E66" s="408" t="s">
        <v>850</v>
      </c>
      <c r="F66" s="408" t="s">
        <v>583</v>
      </c>
      <c r="G66" s="408" t="s">
        <v>851</v>
      </c>
      <c r="H66" s="408" t="s">
        <v>583</v>
      </c>
      <c r="I66" s="408" t="s">
        <v>583</v>
      </c>
      <c r="J66" s="408" t="s">
        <v>583</v>
      </c>
      <c r="K66" s="408" t="s">
        <v>583</v>
      </c>
      <c r="L66" s="408" t="s">
        <v>851</v>
      </c>
    </row>
    <row r="67" spans="1:12">
      <c r="A67" s="408">
        <v>4500</v>
      </c>
      <c r="B67" s="812" t="s">
        <v>852</v>
      </c>
      <c r="C67" s="812"/>
      <c r="D67" s="408" t="s">
        <v>853</v>
      </c>
      <c r="E67" s="408" t="s">
        <v>854</v>
      </c>
      <c r="F67" s="408" t="s">
        <v>583</v>
      </c>
      <c r="G67" s="408" t="s">
        <v>855</v>
      </c>
      <c r="H67" s="408" t="s">
        <v>856</v>
      </c>
      <c r="I67" s="408" t="s">
        <v>583</v>
      </c>
      <c r="J67" s="408" t="s">
        <v>856</v>
      </c>
      <c r="K67" s="408" t="s">
        <v>583</v>
      </c>
      <c r="L67" s="408" t="s">
        <v>857</v>
      </c>
    </row>
    <row r="68" spans="1:12">
      <c r="A68" s="408">
        <v>4501</v>
      </c>
      <c r="B68" s="812" t="s">
        <v>858</v>
      </c>
      <c r="C68" s="812"/>
      <c r="D68" s="408" t="s">
        <v>859</v>
      </c>
      <c r="E68" s="408" t="s">
        <v>860</v>
      </c>
      <c r="F68" s="408" t="s">
        <v>583</v>
      </c>
      <c r="G68" s="408" t="s">
        <v>861</v>
      </c>
      <c r="H68" s="408" t="s">
        <v>862</v>
      </c>
      <c r="I68" s="408" t="s">
        <v>583</v>
      </c>
      <c r="J68" s="408" t="s">
        <v>862</v>
      </c>
      <c r="K68" s="408" t="s">
        <v>583</v>
      </c>
      <c r="L68" s="408" t="s">
        <v>863</v>
      </c>
    </row>
    <row r="69" spans="1:12">
      <c r="A69" s="408">
        <v>4502</v>
      </c>
      <c r="B69" s="812" t="s">
        <v>864</v>
      </c>
      <c r="C69" s="812"/>
      <c r="D69" s="408" t="s">
        <v>865</v>
      </c>
      <c r="E69" s="408" t="s">
        <v>866</v>
      </c>
      <c r="F69" s="408" t="s">
        <v>583</v>
      </c>
      <c r="G69" s="408" t="s">
        <v>867</v>
      </c>
      <c r="H69" s="408" t="s">
        <v>868</v>
      </c>
      <c r="I69" s="408" t="s">
        <v>583</v>
      </c>
      <c r="J69" s="408" t="s">
        <v>868</v>
      </c>
      <c r="K69" s="408" t="s">
        <v>583</v>
      </c>
      <c r="L69" s="408" t="s">
        <v>869</v>
      </c>
    </row>
    <row r="70" spans="1:12">
      <c r="A70" s="408">
        <v>4503</v>
      </c>
      <c r="B70" s="812" t="s">
        <v>870</v>
      </c>
      <c r="C70" s="812"/>
      <c r="D70" s="408" t="s">
        <v>871</v>
      </c>
      <c r="E70" s="408" t="s">
        <v>872</v>
      </c>
      <c r="F70" s="408" t="s">
        <v>583</v>
      </c>
      <c r="G70" s="408" t="s">
        <v>873</v>
      </c>
      <c r="H70" s="408" t="s">
        <v>874</v>
      </c>
      <c r="I70" s="408" t="s">
        <v>583</v>
      </c>
      <c r="J70" s="408" t="s">
        <v>874</v>
      </c>
      <c r="K70" s="408" t="s">
        <v>583</v>
      </c>
      <c r="L70" s="408" t="s">
        <v>875</v>
      </c>
    </row>
    <row r="71" spans="1:12">
      <c r="A71" s="408">
        <v>4504</v>
      </c>
      <c r="B71" s="812" t="s">
        <v>876</v>
      </c>
      <c r="C71" s="812"/>
      <c r="D71" s="408" t="s">
        <v>877</v>
      </c>
      <c r="E71" s="408" t="s">
        <v>878</v>
      </c>
      <c r="F71" s="408" t="s">
        <v>583</v>
      </c>
      <c r="G71" s="408" t="s">
        <v>879</v>
      </c>
      <c r="H71" s="408" t="s">
        <v>583</v>
      </c>
      <c r="I71" s="408" t="s">
        <v>583</v>
      </c>
      <c r="J71" s="408" t="s">
        <v>583</v>
      </c>
      <c r="K71" s="408" t="s">
        <v>583</v>
      </c>
      <c r="L71" s="408" t="s">
        <v>879</v>
      </c>
    </row>
    <row r="72" spans="1:12">
      <c r="A72" s="408">
        <v>4505</v>
      </c>
      <c r="B72" s="812" t="s">
        <v>880</v>
      </c>
      <c r="C72" s="812"/>
      <c r="D72" s="408" t="s">
        <v>881</v>
      </c>
      <c r="E72" s="408" t="s">
        <v>882</v>
      </c>
      <c r="F72" s="408" t="s">
        <v>583</v>
      </c>
      <c r="G72" s="408" t="s">
        <v>883</v>
      </c>
      <c r="H72" s="408" t="s">
        <v>884</v>
      </c>
      <c r="I72" s="408" t="s">
        <v>583</v>
      </c>
      <c r="J72" s="408" t="s">
        <v>884</v>
      </c>
      <c r="K72" s="408" t="s">
        <v>583</v>
      </c>
      <c r="L72" s="408" t="s">
        <v>885</v>
      </c>
    </row>
    <row r="73" spans="1:12">
      <c r="A73" s="408">
        <v>4506</v>
      </c>
      <c r="B73" s="812" t="s">
        <v>886</v>
      </c>
      <c r="C73" s="812"/>
      <c r="D73" s="408" t="s">
        <v>887</v>
      </c>
      <c r="E73" s="408" t="s">
        <v>888</v>
      </c>
      <c r="F73" s="408" t="s">
        <v>583</v>
      </c>
      <c r="G73" s="408" t="s">
        <v>889</v>
      </c>
      <c r="H73" s="408" t="s">
        <v>583</v>
      </c>
      <c r="I73" s="408" t="s">
        <v>583</v>
      </c>
      <c r="J73" s="408" t="s">
        <v>583</v>
      </c>
      <c r="K73" s="408" t="s">
        <v>583</v>
      </c>
      <c r="L73" s="408" t="s">
        <v>889</v>
      </c>
    </row>
    <row r="74" spans="1:12">
      <c r="A74" s="408">
        <v>4507</v>
      </c>
      <c r="B74" s="812" t="s">
        <v>890</v>
      </c>
      <c r="C74" s="812"/>
      <c r="D74" s="408" t="s">
        <v>891</v>
      </c>
      <c r="E74" s="408" t="s">
        <v>892</v>
      </c>
      <c r="F74" s="408" t="s">
        <v>583</v>
      </c>
      <c r="G74" s="408" t="s">
        <v>893</v>
      </c>
      <c r="H74" s="408" t="s">
        <v>583</v>
      </c>
      <c r="I74" s="408" t="s">
        <v>583</v>
      </c>
      <c r="J74" s="408" t="s">
        <v>583</v>
      </c>
      <c r="K74" s="408" t="s">
        <v>583</v>
      </c>
      <c r="L74" s="408" t="s">
        <v>893</v>
      </c>
    </row>
    <row r="75" spans="1:12">
      <c r="A75" s="408">
        <v>4509</v>
      </c>
      <c r="B75" s="812" t="s">
        <v>894</v>
      </c>
      <c r="C75" s="812"/>
      <c r="D75" s="408" t="s">
        <v>895</v>
      </c>
      <c r="E75" s="408" t="s">
        <v>896</v>
      </c>
      <c r="F75" s="408" t="s">
        <v>583</v>
      </c>
      <c r="G75" s="408" t="s">
        <v>897</v>
      </c>
      <c r="H75" s="408" t="s">
        <v>583</v>
      </c>
      <c r="I75" s="408" t="s">
        <v>583</v>
      </c>
      <c r="J75" s="408" t="s">
        <v>583</v>
      </c>
      <c r="K75" s="408" t="s">
        <v>583</v>
      </c>
      <c r="L75" s="408" t="s">
        <v>897</v>
      </c>
    </row>
    <row r="76" spans="1:12">
      <c r="A76" s="408">
        <v>4511</v>
      </c>
      <c r="B76" s="812" t="s">
        <v>898</v>
      </c>
      <c r="C76" s="812"/>
      <c r="D76" s="408" t="s">
        <v>899</v>
      </c>
      <c r="E76" s="408" t="s">
        <v>900</v>
      </c>
      <c r="F76" s="408" t="s">
        <v>583</v>
      </c>
      <c r="G76" s="408" t="s">
        <v>901</v>
      </c>
      <c r="H76" s="408" t="s">
        <v>902</v>
      </c>
      <c r="I76" s="408" t="s">
        <v>903</v>
      </c>
      <c r="J76" s="408" t="s">
        <v>904</v>
      </c>
      <c r="K76" s="408" t="s">
        <v>583</v>
      </c>
      <c r="L76" s="408" t="s">
        <v>905</v>
      </c>
    </row>
    <row r="77" spans="1:12">
      <c r="A77" s="408">
        <v>4512</v>
      </c>
      <c r="B77" s="812" t="s">
        <v>906</v>
      </c>
      <c r="C77" s="812"/>
      <c r="D77" s="408" t="s">
        <v>907</v>
      </c>
      <c r="E77" s="408" t="s">
        <v>908</v>
      </c>
      <c r="F77" s="408" t="s">
        <v>583</v>
      </c>
      <c r="G77" s="408" t="s">
        <v>909</v>
      </c>
      <c r="H77" s="408" t="s">
        <v>583</v>
      </c>
      <c r="I77" s="408" t="s">
        <v>583</v>
      </c>
      <c r="J77" s="408" t="s">
        <v>583</v>
      </c>
      <c r="K77" s="408" t="s">
        <v>583</v>
      </c>
      <c r="L77" s="408" t="s">
        <v>909</v>
      </c>
    </row>
    <row r="78" spans="1:12">
      <c r="A78" s="408">
        <v>4986</v>
      </c>
      <c r="B78" s="812" t="s">
        <v>910</v>
      </c>
      <c r="C78" s="812"/>
      <c r="D78" s="408" t="s">
        <v>911</v>
      </c>
      <c r="E78" s="408" t="s">
        <v>583</v>
      </c>
      <c r="F78" s="408" t="s">
        <v>583</v>
      </c>
      <c r="G78" s="408" t="s">
        <v>911</v>
      </c>
      <c r="H78" s="408" t="s">
        <v>583</v>
      </c>
      <c r="I78" s="408" t="s">
        <v>583</v>
      </c>
      <c r="J78" s="408" t="s">
        <v>583</v>
      </c>
      <c r="K78" s="408" t="s">
        <v>583</v>
      </c>
      <c r="L78" s="408" t="s">
        <v>911</v>
      </c>
    </row>
    <row r="79" spans="1:12">
      <c r="A79" s="408">
        <v>8001</v>
      </c>
      <c r="B79" s="812" t="s">
        <v>912</v>
      </c>
      <c r="C79" s="812"/>
      <c r="D79" s="408" t="s">
        <v>913</v>
      </c>
      <c r="E79" s="408" t="s">
        <v>583</v>
      </c>
      <c r="F79" s="408" t="s">
        <v>583</v>
      </c>
      <c r="G79" s="408" t="s">
        <v>913</v>
      </c>
      <c r="H79" s="408" t="s">
        <v>583</v>
      </c>
      <c r="I79" s="408" t="s">
        <v>583</v>
      </c>
      <c r="J79" s="408" t="s">
        <v>583</v>
      </c>
      <c r="K79" s="408" t="s">
        <v>583</v>
      </c>
      <c r="L79" s="408" t="s">
        <v>913</v>
      </c>
    </row>
    <row r="80" spans="1:12">
      <c r="A80" s="408">
        <v>8024</v>
      </c>
      <c r="B80" s="812" t="s">
        <v>914</v>
      </c>
      <c r="C80" s="812"/>
      <c r="D80" s="408" t="s">
        <v>915</v>
      </c>
      <c r="E80" s="408" t="s">
        <v>583</v>
      </c>
      <c r="F80" s="408" t="s">
        <v>583</v>
      </c>
      <c r="G80" s="408" t="s">
        <v>915</v>
      </c>
      <c r="H80" s="408" t="s">
        <v>583</v>
      </c>
      <c r="I80" s="408" t="s">
        <v>583</v>
      </c>
      <c r="J80" s="408" t="s">
        <v>583</v>
      </c>
      <c r="K80" s="408" t="s">
        <v>583</v>
      </c>
      <c r="L80" s="408" t="s">
        <v>915</v>
      </c>
    </row>
    <row r="81" spans="1:12">
      <c r="A81" s="408">
        <v>8050</v>
      </c>
      <c r="B81" s="812" t="s">
        <v>916</v>
      </c>
      <c r="C81" s="812"/>
      <c r="D81" s="408" t="s">
        <v>917</v>
      </c>
      <c r="E81" s="408" t="s">
        <v>583</v>
      </c>
      <c r="F81" s="408" t="s">
        <v>583</v>
      </c>
      <c r="G81" s="408" t="s">
        <v>917</v>
      </c>
      <c r="H81" s="408" t="s">
        <v>583</v>
      </c>
      <c r="I81" s="408" t="s">
        <v>583</v>
      </c>
      <c r="J81" s="408" t="s">
        <v>583</v>
      </c>
      <c r="K81" s="408" t="s">
        <v>583</v>
      </c>
      <c r="L81" s="408" t="s">
        <v>917</v>
      </c>
    </row>
    <row r="83" spans="1:12">
      <c r="A83" s="815" t="s">
        <v>211</v>
      </c>
      <c r="B83" s="815"/>
      <c r="C83" s="815"/>
      <c r="D83" s="409" t="s">
        <v>918</v>
      </c>
      <c r="E83" s="409" t="s">
        <v>919</v>
      </c>
      <c r="F83" s="409" t="s">
        <v>574</v>
      </c>
      <c r="G83" s="409" t="s">
        <v>920</v>
      </c>
      <c r="H83" s="409" t="s">
        <v>921</v>
      </c>
      <c r="I83" s="409" t="s">
        <v>922</v>
      </c>
      <c r="J83" s="409" t="s">
        <v>923</v>
      </c>
      <c r="K83" s="409" t="s">
        <v>574</v>
      </c>
      <c r="L83" s="409" t="s">
        <v>924</v>
      </c>
    </row>
  </sheetData>
  <mergeCells count="84">
    <mergeCell ref="A83:C83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J6:J7"/>
    <mergeCell ref="K6:K7"/>
    <mergeCell ref="L6:L7"/>
    <mergeCell ref="B8:C8"/>
    <mergeCell ref="B9:C9"/>
    <mergeCell ref="H6:H7"/>
    <mergeCell ref="I6:I7"/>
    <mergeCell ref="B10:C10"/>
    <mergeCell ref="D6:D7"/>
    <mergeCell ref="E6:E7"/>
    <mergeCell ref="F6:F7"/>
    <mergeCell ref="G6:G7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83"/>
  <sheetViews>
    <sheetView topLeftCell="A4" workbookViewId="0">
      <selection sqref="A1:XFD1048576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0" max="10" width="11.7109375" customWidth="1"/>
    <col min="11" max="11" width="10.7109375" customWidth="1"/>
    <col min="12" max="12" width="13.7109375" customWidth="1"/>
  </cols>
  <sheetData>
    <row r="1" spans="1:12">
      <c r="A1" s="405" t="s">
        <v>557</v>
      </c>
    </row>
    <row r="2" spans="1:12">
      <c r="A2" s="405" t="s">
        <v>1076</v>
      </c>
    </row>
    <row r="4" spans="1:12">
      <c r="A4" s="405" t="s">
        <v>559</v>
      </c>
      <c r="C4" s="406" t="s">
        <v>560</v>
      </c>
    </row>
    <row r="6" spans="1:12">
      <c r="D6" s="813" t="s">
        <v>561</v>
      </c>
      <c r="E6" s="813" t="s">
        <v>562</v>
      </c>
      <c r="F6" s="813" t="s">
        <v>563</v>
      </c>
      <c r="G6" s="813" t="s">
        <v>564</v>
      </c>
      <c r="H6" s="813" t="s">
        <v>1077</v>
      </c>
      <c r="I6" s="813" t="s">
        <v>1078</v>
      </c>
      <c r="J6" s="813" t="s">
        <v>1079</v>
      </c>
      <c r="K6" s="813" t="s">
        <v>568</v>
      </c>
      <c r="L6" s="813" t="s">
        <v>569</v>
      </c>
    </row>
    <row r="7" spans="1:12">
      <c r="A7" s="407" t="s">
        <v>570</v>
      </c>
      <c r="D7" s="814"/>
      <c r="E7" s="814"/>
      <c r="F7" s="814"/>
      <c r="G7" s="814"/>
      <c r="H7" s="814"/>
      <c r="I7" s="814"/>
      <c r="J7" s="814"/>
      <c r="K7" s="814"/>
      <c r="L7" s="814"/>
    </row>
    <row r="8" spans="1:12">
      <c r="A8" s="408">
        <v>1</v>
      </c>
      <c r="B8" s="812" t="s">
        <v>571</v>
      </c>
      <c r="C8" s="812"/>
      <c r="D8" s="408" t="s">
        <v>572</v>
      </c>
      <c r="E8" s="408" t="s">
        <v>1080</v>
      </c>
      <c r="F8" s="408" t="s">
        <v>574</v>
      </c>
      <c r="G8" s="408" t="s">
        <v>1081</v>
      </c>
      <c r="H8" s="408" t="s">
        <v>1082</v>
      </c>
      <c r="I8" s="408" t="s">
        <v>1083</v>
      </c>
      <c r="J8" s="408" t="s">
        <v>1084</v>
      </c>
      <c r="K8" s="408" t="s">
        <v>574</v>
      </c>
      <c r="L8" s="408" t="s">
        <v>1085</v>
      </c>
    </row>
    <row r="9" spans="1:12">
      <c r="A9" s="408">
        <v>20</v>
      </c>
      <c r="B9" s="812" t="s">
        <v>580</v>
      </c>
      <c r="C9" s="812"/>
      <c r="D9" s="408" t="s">
        <v>581</v>
      </c>
      <c r="E9" s="408" t="s">
        <v>1086</v>
      </c>
      <c r="F9" s="408" t="s">
        <v>583</v>
      </c>
      <c r="G9" s="408" t="s">
        <v>1087</v>
      </c>
      <c r="H9" s="408" t="s">
        <v>1088</v>
      </c>
      <c r="I9" s="408" t="s">
        <v>1089</v>
      </c>
      <c r="J9" s="408" t="s">
        <v>1090</v>
      </c>
      <c r="K9" s="408" t="s">
        <v>583</v>
      </c>
      <c r="L9" s="408" t="s">
        <v>1091</v>
      </c>
    </row>
    <row r="10" spans="1:12">
      <c r="A10" s="408">
        <v>31</v>
      </c>
      <c r="B10" s="812" t="s">
        <v>589</v>
      </c>
      <c r="C10" s="812"/>
      <c r="D10" s="408" t="s">
        <v>590</v>
      </c>
      <c r="E10" s="408" t="s">
        <v>1092</v>
      </c>
      <c r="F10" s="408" t="s">
        <v>583</v>
      </c>
      <c r="G10" s="408" t="s">
        <v>1093</v>
      </c>
      <c r="H10" s="408" t="s">
        <v>1094</v>
      </c>
      <c r="I10" s="408" t="s">
        <v>1095</v>
      </c>
      <c r="J10" s="408" t="s">
        <v>1096</v>
      </c>
      <c r="K10" s="408" t="s">
        <v>583</v>
      </c>
      <c r="L10" s="408" t="s">
        <v>1097</v>
      </c>
    </row>
    <row r="11" spans="1:12">
      <c r="A11" s="408">
        <v>40</v>
      </c>
      <c r="B11" s="812" t="s">
        <v>595</v>
      </c>
      <c r="C11" s="812"/>
      <c r="D11" s="408" t="s">
        <v>596</v>
      </c>
      <c r="E11" s="408" t="s">
        <v>1098</v>
      </c>
      <c r="F11" s="408" t="s">
        <v>583</v>
      </c>
      <c r="G11" s="408" t="s">
        <v>1099</v>
      </c>
      <c r="H11" s="408" t="s">
        <v>1100</v>
      </c>
      <c r="I11" s="408" t="s">
        <v>1101</v>
      </c>
      <c r="J11" s="408" t="s">
        <v>1102</v>
      </c>
      <c r="K11" s="408" t="s">
        <v>583</v>
      </c>
      <c r="L11" s="408" t="s">
        <v>1103</v>
      </c>
    </row>
    <row r="12" spans="1:12">
      <c r="A12" s="408">
        <v>50</v>
      </c>
      <c r="B12" s="812" t="s">
        <v>603</v>
      </c>
      <c r="C12" s="812"/>
      <c r="D12" s="408" t="s">
        <v>604</v>
      </c>
      <c r="E12" s="408" t="s">
        <v>1104</v>
      </c>
      <c r="F12" s="408" t="s">
        <v>583</v>
      </c>
      <c r="G12" s="408" t="s">
        <v>1105</v>
      </c>
      <c r="H12" s="408" t="s">
        <v>1106</v>
      </c>
      <c r="I12" s="408" t="s">
        <v>1107</v>
      </c>
      <c r="J12" s="408" t="s">
        <v>1108</v>
      </c>
      <c r="K12" s="408" t="s">
        <v>583</v>
      </c>
      <c r="L12" s="408" t="s">
        <v>1109</v>
      </c>
    </row>
    <row r="13" spans="1:12">
      <c r="A13" s="408">
        <v>900</v>
      </c>
      <c r="B13" s="812" t="s">
        <v>609</v>
      </c>
      <c r="C13" s="812"/>
      <c r="D13" s="408" t="s">
        <v>610</v>
      </c>
      <c r="E13" s="408" t="s">
        <v>583</v>
      </c>
      <c r="F13" s="408" t="s">
        <v>583</v>
      </c>
      <c r="G13" s="408" t="s">
        <v>610</v>
      </c>
      <c r="H13" s="408" t="s">
        <v>583</v>
      </c>
      <c r="I13" s="408" t="s">
        <v>583</v>
      </c>
      <c r="J13" s="408" t="s">
        <v>583</v>
      </c>
      <c r="K13" s="408" t="s">
        <v>583</v>
      </c>
      <c r="L13" s="408" t="s">
        <v>610</v>
      </c>
    </row>
    <row r="14" spans="1:12">
      <c r="A14" s="408">
        <v>1022</v>
      </c>
      <c r="B14" s="812" t="s">
        <v>611</v>
      </c>
      <c r="C14" s="812"/>
      <c r="D14" s="408" t="s">
        <v>612</v>
      </c>
      <c r="E14" s="408" t="s">
        <v>1110</v>
      </c>
      <c r="F14" s="408" t="s">
        <v>583</v>
      </c>
      <c r="G14" s="408" t="s">
        <v>1111</v>
      </c>
      <c r="H14" s="408" t="s">
        <v>1112</v>
      </c>
      <c r="I14" s="408" t="s">
        <v>583</v>
      </c>
      <c r="J14" s="408" t="s">
        <v>1112</v>
      </c>
      <c r="K14" s="408" t="s">
        <v>583</v>
      </c>
      <c r="L14" s="408" t="s">
        <v>1113</v>
      </c>
    </row>
    <row r="15" spans="1:12">
      <c r="A15" s="408">
        <v>1023</v>
      </c>
      <c r="B15" s="812" t="s">
        <v>617</v>
      </c>
      <c r="C15" s="812"/>
      <c r="D15" s="408" t="s">
        <v>618</v>
      </c>
      <c r="E15" s="408" t="s">
        <v>1114</v>
      </c>
      <c r="F15" s="408" t="s">
        <v>583</v>
      </c>
      <c r="G15" s="408" t="s">
        <v>1115</v>
      </c>
      <c r="H15" s="408" t="s">
        <v>1116</v>
      </c>
      <c r="I15" s="408" t="s">
        <v>1117</v>
      </c>
      <c r="J15" s="408" t="s">
        <v>1118</v>
      </c>
      <c r="K15" s="408" t="s">
        <v>583</v>
      </c>
      <c r="L15" s="408" t="s">
        <v>1119</v>
      </c>
    </row>
    <row r="16" spans="1:12">
      <c r="A16" s="408">
        <v>1024</v>
      </c>
      <c r="B16" s="812" t="s">
        <v>625</v>
      </c>
      <c r="C16" s="812"/>
      <c r="D16" s="408" t="s">
        <v>626</v>
      </c>
      <c r="E16" s="408" t="s">
        <v>627</v>
      </c>
      <c r="F16" s="408" t="s">
        <v>583</v>
      </c>
      <c r="G16" s="408" t="s">
        <v>628</v>
      </c>
      <c r="H16" s="408" t="s">
        <v>583</v>
      </c>
      <c r="I16" s="408" t="s">
        <v>583</v>
      </c>
      <c r="J16" s="408" t="s">
        <v>583</v>
      </c>
      <c r="K16" s="408" t="s">
        <v>583</v>
      </c>
      <c r="L16" s="408" t="s">
        <v>628</v>
      </c>
    </row>
    <row r="17" spans="1:12">
      <c r="A17" s="408">
        <v>1025</v>
      </c>
      <c r="B17" s="812" t="s">
        <v>629</v>
      </c>
      <c r="C17" s="812"/>
      <c r="D17" s="408" t="s">
        <v>630</v>
      </c>
      <c r="E17" s="408" t="s">
        <v>631</v>
      </c>
      <c r="F17" s="408" t="s">
        <v>583</v>
      </c>
      <c r="G17" s="408" t="s">
        <v>632</v>
      </c>
      <c r="H17" s="408" t="s">
        <v>583</v>
      </c>
      <c r="I17" s="408" t="s">
        <v>583</v>
      </c>
      <c r="J17" s="408" t="s">
        <v>583</v>
      </c>
      <c r="K17" s="408" t="s">
        <v>583</v>
      </c>
      <c r="L17" s="408" t="s">
        <v>632</v>
      </c>
    </row>
    <row r="18" spans="1:12">
      <c r="A18" s="408">
        <v>1026</v>
      </c>
      <c r="B18" s="812" t="s">
        <v>633</v>
      </c>
      <c r="C18" s="812"/>
      <c r="D18" s="408" t="s">
        <v>634</v>
      </c>
      <c r="E18" s="408" t="s">
        <v>1120</v>
      </c>
      <c r="F18" s="408" t="s">
        <v>583</v>
      </c>
      <c r="G18" s="408" t="s">
        <v>1121</v>
      </c>
      <c r="H18" s="408" t="s">
        <v>583</v>
      </c>
      <c r="I18" s="408" t="s">
        <v>583</v>
      </c>
      <c r="J18" s="408" t="s">
        <v>583</v>
      </c>
      <c r="K18" s="408" t="s">
        <v>583</v>
      </c>
      <c r="L18" s="408" t="s">
        <v>1121</v>
      </c>
    </row>
    <row r="19" spans="1:12">
      <c r="A19" s="408">
        <v>1031</v>
      </c>
      <c r="B19" s="812" t="s">
        <v>637</v>
      </c>
      <c r="C19" s="812"/>
      <c r="D19" s="408" t="s">
        <v>638</v>
      </c>
      <c r="E19" s="408" t="s">
        <v>639</v>
      </c>
      <c r="F19" s="408" t="s">
        <v>583</v>
      </c>
      <c r="G19" s="408" t="s">
        <v>640</v>
      </c>
      <c r="H19" s="408" t="s">
        <v>583</v>
      </c>
      <c r="I19" s="408" t="s">
        <v>583</v>
      </c>
      <c r="J19" s="408" t="s">
        <v>583</v>
      </c>
      <c r="K19" s="408" t="s">
        <v>583</v>
      </c>
      <c r="L19" s="408" t="s">
        <v>640</v>
      </c>
    </row>
    <row r="20" spans="1:12">
      <c r="A20" s="408">
        <v>1101</v>
      </c>
      <c r="B20" s="812" t="s">
        <v>641</v>
      </c>
      <c r="C20" s="812"/>
      <c r="D20" s="408" t="s">
        <v>642</v>
      </c>
      <c r="E20" s="408" t="s">
        <v>643</v>
      </c>
      <c r="F20" s="408" t="s">
        <v>583</v>
      </c>
      <c r="G20" s="408" t="s">
        <v>644</v>
      </c>
      <c r="H20" s="408" t="s">
        <v>583</v>
      </c>
      <c r="I20" s="408" t="s">
        <v>583</v>
      </c>
      <c r="J20" s="408" t="s">
        <v>583</v>
      </c>
      <c r="K20" s="408" t="s">
        <v>583</v>
      </c>
      <c r="L20" s="408" t="s">
        <v>644</v>
      </c>
    </row>
    <row r="21" spans="1:12">
      <c r="A21" s="408">
        <v>1103</v>
      </c>
      <c r="B21" s="812" t="s">
        <v>645</v>
      </c>
      <c r="C21" s="812"/>
      <c r="D21" s="408" t="s">
        <v>646</v>
      </c>
      <c r="E21" s="408" t="s">
        <v>1122</v>
      </c>
      <c r="F21" s="408" t="s">
        <v>583</v>
      </c>
      <c r="G21" s="408" t="s">
        <v>1123</v>
      </c>
      <c r="H21" s="408" t="s">
        <v>1124</v>
      </c>
      <c r="I21" s="408" t="s">
        <v>1125</v>
      </c>
      <c r="J21" s="408" t="s">
        <v>1126</v>
      </c>
      <c r="K21" s="408" t="s">
        <v>583</v>
      </c>
      <c r="L21" s="408" t="s">
        <v>1127</v>
      </c>
    </row>
    <row r="22" spans="1:12">
      <c r="A22" s="408">
        <v>1104</v>
      </c>
      <c r="B22" s="812" t="s">
        <v>651</v>
      </c>
      <c r="C22" s="812"/>
      <c r="D22" s="408" t="s">
        <v>652</v>
      </c>
      <c r="E22" s="408" t="s">
        <v>653</v>
      </c>
      <c r="F22" s="408" t="s">
        <v>583</v>
      </c>
      <c r="G22" s="408" t="s">
        <v>654</v>
      </c>
      <c r="H22" s="408" t="s">
        <v>583</v>
      </c>
      <c r="I22" s="408" t="s">
        <v>583</v>
      </c>
      <c r="J22" s="408" t="s">
        <v>583</v>
      </c>
      <c r="K22" s="408" t="s">
        <v>583</v>
      </c>
      <c r="L22" s="408" t="s">
        <v>654</v>
      </c>
    </row>
    <row r="23" spans="1:12">
      <c r="A23" s="408">
        <v>1121</v>
      </c>
      <c r="B23" s="812" t="s">
        <v>655</v>
      </c>
      <c r="C23" s="812"/>
      <c r="D23" s="408" t="s">
        <v>656</v>
      </c>
      <c r="E23" s="408" t="s">
        <v>1128</v>
      </c>
      <c r="F23" s="408" t="s">
        <v>583</v>
      </c>
      <c r="G23" s="408" t="s">
        <v>1129</v>
      </c>
      <c r="H23" s="408" t="s">
        <v>1130</v>
      </c>
      <c r="I23" s="408" t="s">
        <v>1131</v>
      </c>
      <c r="J23" s="408" t="s">
        <v>1132</v>
      </c>
      <c r="K23" s="408" t="s">
        <v>583</v>
      </c>
      <c r="L23" s="408" t="s">
        <v>1133</v>
      </c>
    </row>
    <row r="24" spans="1:12">
      <c r="A24" s="408">
        <v>1122</v>
      </c>
      <c r="B24" s="812" t="s">
        <v>661</v>
      </c>
      <c r="C24" s="812"/>
      <c r="D24" s="408" t="s">
        <v>662</v>
      </c>
      <c r="E24" s="408" t="s">
        <v>663</v>
      </c>
      <c r="F24" s="408" t="s">
        <v>583</v>
      </c>
      <c r="G24" s="408" t="s">
        <v>664</v>
      </c>
      <c r="H24" s="408" t="s">
        <v>583</v>
      </c>
      <c r="I24" s="408" t="s">
        <v>583</v>
      </c>
      <c r="J24" s="408" t="s">
        <v>583</v>
      </c>
      <c r="K24" s="408" t="s">
        <v>583</v>
      </c>
      <c r="L24" s="408" t="s">
        <v>664</v>
      </c>
    </row>
    <row r="25" spans="1:12">
      <c r="A25" s="408">
        <v>1123</v>
      </c>
      <c r="B25" s="812" t="s">
        <v>665</v>
      </c>
      <c r="C25" s="812"/>
      <c r="D25" s="408" t="s">
        <v>666</v>
      </c>
      <c r="E25" s="408" t="s">
        <v>667</v>
      </c>
      <c r="F25" s="408" t="s">
        <v>583</v>
      </c>
      <c r="G25" s="408" t="s">
        <v>668</v>
      </c>
      <c r="H25" s="408" t="s">
        <v>583</v>
      </c>
      <c r="I25" s="408" t="s">
        <v>583</v>
      </c>
      <c r="J25" s="408" t="s">
        <v>583</v>
      </c>
      <c r="K25" s="408" t="s">
        <v>583</v>
      </c>
      <c r="L25" s="408" t="s">
        <v>668</v>
      </c>
    </row>
    <row r="26" spans="1:12">
      <c r="A26" s="408">
        <v>1124</v>
      </c>
      <c r="B26" s="812" t="s">
        <v>669</v>
      </c>
      <c r="C26" s="812"/>
      <c r="D26" s="408" t="s">
        <v>670</v>
      </c>
      <c r="E26" s="408" t="s">
        <v>671</v>
      </c>
      <c r="F26" s="408" t="s">
        <v>583</v>
      </c>
      <c r="G26" s="408" t="s">
        <v>672</v>
      </c>
      <c r="H26" s="408" t="s">
        <v>1134</v>
      </c>
      <c r="I26" s="408" t="s">
        <v>1135</v>
      </c>
      <c r="J26" s="408" t="s">
        <v>1136</v>
      </c>
      <c r="K26" s="408" t="s">
        <v>583</v>
      </c>
      <c r="L26" s="408" t="s">
        <v>1137</v>
      </c>
    </row>
    <row r="27" spans="1:12">
      <c r="A27" s="408">
        <v>1180</v>
      </c>
      <c r="B27" s="812" t="s">
        <v>675</v>
      </c>
      <c r="C27" s="812"/>
      <c r="D27" s="408" t="s">
        <v>676</v>
      </c>
      <c r="E27" s="408" t="s">
        <v>583</v>
      </c>
      <c r="F27" s="408" t="s">
        <v>583</v>
      </c>
      <c r="G27" s="408" t="s">
        <v>676</v>
      </c>
      <c r="H27" s="408" t="s">
        <v>583</v>
      </c>
      <c r="I27" s="408" t="s">
        <v>583</v>
      </c>
      <c r="J27" s="408" t="s">
        <v>583</v>
      </c>
      <c r="K27" s="408" t="s">
        <v>583</v>
      </c>
      <c r="L27" s="408" t="s">
        <v>676</v>
      </c>
    </row>
    <row r="28" spans="1:12">
      <c r="A28" s="408">
        <v>1181</v>
      </c>
      <c r="B28" s="812" t="s">
        <v>677</v>
      </c>
      <c r="C28" s="812"/>
      <c r="D28" s="408" t="s">
        <v>678</v>
      </c>
      <c r="E28" s="408" t="s">
        <v>679</v>
      </c>
      <c r="F28" s="408" t="s">
        <v>583</v>
      </c>
      <c r="G28" s="408" t="s">
        <v>680</v>
      </c>
      <c r="H28" s="408" t="s">
        <v>583</v>
      </c>
      <c r="I28" s="408" t="s">
        <v>583</v>
      </c>
      <c r="J28" s="408" t="s">
        <v>583</v>
      </c>
      <c r="K28" s="408" t="s">
        <v>583</v>
      </c>
      <c r="L28" s="408" t="s">
        <v>680</v>
      </c>
    </row>
    <row r="29" spans="1:12">
      <c r="A29" s="408">
        <v>1182</v>
      </c>
      <c r="B29" s="812" t="s">
        <v>681</v>
      </c>
      <c r="C29" s="812"/>
      <c r="D29" s="408" t="s">
        <v>682</v>
      </c>
      <c r="E29" s="408" t="s">
        <v>1138</v>
      </c>
      <c r="F29" s="408" t="s">
        <v>583</v>
      </c>
      <c r="G29" s="408" t="s">
        <v>1139</v>
      </c>
      <c r="H29" s="408" t="s">
        <v>1140</v>
      </c>
      <c r="I29" s="408" t="s">
        <v>1141</v>
      </c>
      <c r="J29" s="408" t="s">
        <v>1142</v>
      </c>
      <c r="K29" s="408" t="s">
        <v>583</v>
      </c>
      <c r="L29" s="408" t="s">
        <v>1143</v>
      </c>
    </row>
    <row r="30" spans="1:12">
      <c r="A30" s="408">
        <v>1184</v>
      </c>
      <c r="B30" s="812" t="s">
        <v>689</v>
      </c>
      <c r="C30" s="812"/>
      <c r="D30" s="408" t="s">
        <v>690</v>
      </c>
      <c r="E30" s="408" t="s">
        <v>691</v>
      </c>
      <c r="F30" s="408" t="s">
        <v>583</v>
      </c>
      <c r="G30" s="408" t="s">
        <v>692</v>
      </c>
      <c r="H30" s="408" t="s">
        <v>1144</v>
      </c>
      <c r="I30" s="408" t="s">
        <v>1145</v>
      </c>
      <c r="J30" s="408" t="s">
        <v>1146</v>
      </c>
      <c r="K30" s="408" t="s">
        <v>583</v>
      </c>
      <c r="L30" s="408" t="s">
        <v>1147</v>
      </c>
    </row>
    <row r="31" spans="1:12">
      <c r="A31" s="408">
        <v>1186</v>
      </c>
      <c r="B31" s="812" t="s">
        <v>697</v>
      </c>
      <c r="C31" s="812"/>
      <c r="D31" s="408" t="s">
        <v>698</v>
      </c>
      <c r="E31" s="408" t="s">
        <v>699</v>
      </c>
      <c r="F31" s="408" t="s">
        <v>583</v>
      </c>
      <c r="G31" s="408" t="s">
        <v>700</v>
      </c>
      <c r="H31" s="408" t="s">
        <v>583</v>
      </c>
      <c r="I31" s="408" t="s">
        <v>583</v>
      </c>
      <c r="J31" s="408" t="s">
        <v>583</v>
      </c>
      <c r="K31" s="408" t="s">
        <v>583</v>
      </c>
      <c r="L31" s="408" t="s">
        <v>700</v>
      </c>
    </row>
    <row r="32" spans="1:12">
      <c r="A32" s="408">
        <v>1187</v>
      </c>
      <c r="B32" s="812" t="s">
        <v>701</v>
      </c>
      <c r="C32" s="812"/>
      <c r="D32" s="408" t="s">
        <v>702</v>
      </c>
      <c r="E32" s="408" t="s">
        <v>703</v>
      </c>
      <c r="F32" s="408" t="s">
        <v>583</v>
      </c>
      <c r="G32" s="408" t="s">
        <v>704</v>
      </c>
      <c r="H32" s="408" t="s">
        <v>583</v>
      </c>
      <c r="I32" s="408" t="s">
        <v>583</v>
      </c>
      <c r="J32" s="408" t="s">
        <v>583</v>
      </c>
      <c r="K32" s="408" t="s">
        <v>583</v>
      </c>
      <c r="L32" s="408" t="s">
        <v>704</v>
      </c>
    </row>
    <row r="33" spans="1:12">
      <c r="A33" s="408">
        <v>1188</v>
      </c>
      <c r="B33" s="812" t="s">
        <v>705</v>
      </c>
      <c r="C33" s="812"/>
      <c r="D33" s="408" t="s">
        <v>706</v>
      </c>
      <c r="E33" s="408" t="s">
        <v>707</v>
      </c>
      <c r="F33" s="408" t="s">
        <v>583</v>
      </c>
      <c r="G33" s="408" t="s">
        <v>708</v>
      </c>
      <c r="H33" s="408" t="s">
        <v>1148</v>
      </c>
      <c r="I33" s="408" t="s">
        <v>1149</v>
      </c>
      <c r="J33" s="408" t="s">
        <v>1150</v>
      </c>
      <c r="K33" s="408" t="s">
        <v>583</v>
      </c>
      <c r="L33" s="408" t="s">
        <v>1151</v>
      </c>
    </row>
    <row r="34" spans="1:12">
      <c r="A34" s="408">
        <v>1190</v>
      </c>
      <c r="B34" s="812" t="s">
        <v>711</v>
      </c>
      <c r="C34" s="812"/>
      <c r="D34" s="408" t="s">
        <v>712</v>
      </c>
      <c r="E34" s="408" t="s">
        <v>1152</v>
      </c>
      <c r="F34" s="408" t="s">
        <v>583</v>
      </c>
      <c r="G34" s="408" t="s">
        <v>1153</v>
      </c>
      <c r="H34" s="408" t="s">
        <v>715</v>
      </c>
      <c r="I34" s="408" t="s">
        <v>984</v>
      </c>
      <c r="J34" s="408" t="s">
        <v>1154</v>
      </c>
      <c r="K34" s="408" t="s">
        <v>583</v>
      </c>
      <c r="L34" s="408" t="s">
        <v>1155</v>
      </c>
    </row>
    <row r="35" spans="1:12">
      <c r="A35" s="408">
        <v>1500</v>
      </c>
      <c r="B35" s="812" t="s">
        <v>166</v>
      </c>
      <c r="C35" s="812"/>
      <c r="D35" s="408" t="s">
        <v>717</v>
      </c>
      <c r="E35" s="408" t="s">
        <v>1156</v>
      </c>
      <c r="F35" s="408" t="s">
        <v>583</v>
      </c>
      <c r="G35" s="408" t="s">
        <v>1157</v>
      </c>
      <c r="H35" s="408" t="s">
        <v>1158</v>
      </c>
      <c r="I35" s="408" t="s">
        <v>988</v>
      </c>
      <c r="J35" s="408" t="s">
        <v>1159</v>
      </c>
      <c r="K35" s="408" t="s">
        <v>583</v>
      </c>
      <c r="L35" s="408" t="s">
        <v>1160</v>
      </c>
    </row>
    <row r="36" spans="1:12">
      <c r="A36" s="408">
        <v>3812</v>
      </c>
      <c r="B36" s="812" t="s">
        <v>722</v>
      </c>
      <c r="C36" s="812"/>
      <c r="D36" s="408" t="s">
        <v>723</v>
      </c>
      <c r="E36" s="408" t="s">
        <v>724</v>
      </c>
      <c r="F36" s="408" t="s">
        <v>583</v>
      </c>
      <c r="G36" s="408" t="s">
        <v>725</v>
      </c>
      <c r="H36" s="408" t="s">
        <v>583</v>
      </c>
      <c r="I36" s="408" t="s">
        <v>583</v>
      </c>
      <c r="J36" s="408" t="s">
        <v>583</v>
      </c>
      <c r="K36" s="408" t="s">
        <v>583</v>
      </c>
      <c r="L36" s="408" t="s">
        <v>725</v>
      </c>
    </row>
    <row r="37" spans="1:12">
      <c r="A37" s="408">
        <v>3813</v>
      </c>
      <c r="B37" s="812" t="s">
        <v>726</v>
      </c>
      <c r="C37" s="812"/>
      <c r="D37" s="408" t="s">
        <v>727</v>
      </c>
      <c r="E37" s="408" t="s">
        <v>728</v>
      </c>
      <c r="F37" s="408" t="s">
        <v>583</v>
      </c>
      <c r="G37" s="408" t="s">
        <v>729</v>
      </c>
      <c r="H37" s="408" t="s">
        <v>583</v>
      </c>
      <c r="I37" s="408" t="s">
        <v>583</v>
      </c>
      <c r="J37" s="408" t="s">
        <v>583</v>
      </c>
      <c r="K37" s="408" t="s">
        <v>583</v>
      </c>
      <c r="L37" s="408" t="s">
        <v>729</v>
      </c>
    </row>
    <row r="38" spans="1:12">
      <c r="A38" s="408">
        <v>3818</v>
      </c>
      <c r="B38" s="812" t="s">
        <v>730</v>
      </c>
      <c r="C38" s="812"/>
      <c r="D38" s="408" t="s">
        <v>731</v>
      </c>
      <c r="E38" s="408" t="s">
        <v>732</v>
      </c>
      <c r="F38" s="408" t="s">
        <v>583</v>
      </c>
      <c r="G38" s="408" t="s">
        <v>733</v>
      </c>
      <c r="H38" s="408" t="s">
        <v>583</v>
      </c>
      <c r="I38" s="408" t="s">
        <v>583</v>
      </c>
      <c r="J38" s="408" t="s">
        <v>583</v>
      </c>
      <c r="K38" s="408" t="s">
        <v>583</v>
      </c>
      <c r="L38" s="408" t="s">
        <v>733</v>
      </c>
    </row>
    <row r="39" spans="1:12">
      <c r="A39" s="408">
        <v>3819</v>
      </c>
      <c r="B39" s="812" t="s">
        <v>734</v>
      </c>
      <c r="C39" s="812"/>
      <c r="D39" s="408" t="s">
        <v>735</v>
      </c>
      <c r="E39" s="408" t="s">
        <v>736</v>
      </c>
      <c r="F39" s="408" t="s">
        <v>583</v>
      </c>
      <c r="G39" s="408" t="s">
        <v>737</v>
      </c>
      <c r="H39" s="408" t="s">
        <v>583</v>
      </c>
      <c r="I39" s="408" t="s">
        <v>583</v>
      </c>
      <c r="J39" s="408" t="s">
        <v>583</v>
      </c>
      <c r="K39" s="408" t="s">
        <v>583</v>
      </c>
      <c r="L39" s="408" t="s">
        <v>737</v>
      </c>
    </row>
    <row r="40" spans="1:12">
      <c r="A40" s="408">
        <v>3821</v>
      </c>
      <c r="B40" s="812" t="s">
        <v>738</v>
      </c>
      <c r="C40" s="812"/>
      <c r="D40" s="408" t="s">
        <v>739</v>
      </c>
      <c r="E40" s="408" t="s">
        <v>740</v>
      </c>
      <c r="F40" s="408" t="s">
        <v>583</v>
      </c>
      <c r="G40" s="408" t="s">
        <v>741</v>
      </c>
      <c r="H40" s="408" t="s">
        <v>583</v>
      </c>
      <c r="I40" s="408" t="s">
        <v>583</v>
      </c>
      <c r="J40" s="408" t="s">
        <v>583</v>
      </c>
      <c r="K40" s="408" t="s">
        <v>583</v>
      </c>
      <c r="L40" s="408" t="s">
        <v>741</v>
      </c>
    </row>
    <row r="41" spans="1:12">
      <c r="A41" s="408">
        <v>3822</v>
      </c>
      <c r="B41" s="812" t="s">
        <v>742</v>
      </c>
      <c r="C41" s="812"/>
      <c r="D41" s="408" t="s">
        <v>743</v>
      </c>
      <c r="E41" s="408" t="s">
        <v>744</v>
      </c>
      <c r="F41" s="408" t="s">
        <v>583</v>
      </c>
      <c r="G41" s="408" t="s">
        <v>745</v>
      </c>
      <c r="H41" s="408" t="s">
        <v>583</v>
      </c>
      <c r="I41" s="408" t="s">
        <v>583</v>
      </c>
      <c r="J41" s="408" t="s">
        <v>583</v>
      </c>
      <c r="K41" s="408" t="s">
        <v>583</v>
      </c>
      <c r="L41" s="408" t="s">
        <v>745</v>
      </c>
    </row>
    <row r="42" spans="1:12">
      <c r="A42" s="408">
        <v>3826</v>
      </c>
      <c r="B42" s="812" t="s">
        <v>746</v>
      </c>
      <c r="C42" s="812"/>
      <c r="D42" s="408" t="s">
        <v>747</v>
      </c>
      <c r="E42" s="408" t="s">
        <v>748</v>
      </c>
      <c r="F42" s="408" t="s">
        <v>583</v>
      </c>
      <c r="G42" s="408" t="s">
        <v>749</v>
      </c>
      <c r="H42" s="408" t="s">
        <v>583</v>
      </c>
      <c r="I42" s="408" t="s">
        <v>583</v>
      </c>
      <c r="J42" s="408" t="s">
        <v>583</v>
      </c>
      <c r="K42" s="408" t="s">
        <v>583</v>
      </c>
      <c r="L42" s="408" t="s">
        <v>749</v>
      </c>
    </row>
    <row r="43" spans="1:12">
      <c r="A43" s="408">
        <v>3827</v>
      </c>
      <c r="B43" s="812" t="s">
        <v>750</v>
      </c>
      <c r="C43" s="812"/>
      <c r="D43" s="408" t="s">
        <v>751</v>
      </c>
      <c r="E43" s="408" t="s">
        <v>752</v>
      </c>
      <c r="F43" s="408" t="s">
        <v>583</v>
      </c>
      <c r="G43" s="408" t="s">
        <v>753</v>
      </c>
      <c r="H43" s="408" t="s">
        <v>754</v>
      </c>
      <c r="I43" s="408" t="s">
        <v>583</v>
      </c>
      <c r="J43" s="408" t="s">
        <v>754</v>
      </c>
      <c r="K43" s="408" t="s">
        <v>583</v>
      </c>
      <c r="L43" s="408" t="s">
        <v>755</v>
      </c>
    </row>
    <row r="44" spans="1:12">
      <c r="A44" s="408">
        <v>3831</v>
      </c>
      <c r="B44" s="812" t="s">
        <v>756</v>
      </c>
      <c r="C44" s="812"/>
      <c r="D44" s="408" t="s">
        <v>757</v>
      </c>
      <c r="E44" s="408" t="s">
        <v>758</v>
      </c>
      <c r="F44" s="408" t="s">
        <v>583</v>
      </c>
      <c r="G44" s="408" t="s">
        <v>759</v>
      </c>
      <c r="H44" s="408" t="s">
        <v>583</v>
      </c>
      <c r="I44" s="408" t="s">
        <v>760</v>
      </c>
      <c r="J44" s="408" t="s">
        <v>760</v>
      </c>
      <c r="K44" s="408" t="s">
        <v>583</v>
      </c>
      <c r="L44" s="408" t="s">
        <v>761</v>
      </c>
    </row>
    <row r="45" spans="1:12">
      <c r="A45" s="408">
        <v>3832</v>
      </c>
      <c r="B45" s="812" t="s">
        <v>762</v>
      </c>
      <c r="C45" s="812"/>
      <c r="D45" s="408" t="s">
        <v>763</v>
      </c>
      <c r="E45" s="408" t="s">
        <v>764</v>
      </c>
      <c r="F45" s="408" t="s">
        <v>583</v>
      </c>
      <c r="G45" s="408" t="s">
        <v>765</v>
      </c>
      <c r="H45" s="408" t="s">
        <v>583</v>
      </c>
      <c r="I45" s="408" t="s">
        <v>766</v>
      </c>
      <c r="J45" s="408" t="s">
        <v>766</v>
      </c>
      <c r="K45" s="408" t="s">
        <v>583</v>
      </c>
      <c r="L45" s="408" t="s">
        <v>767</v>
      </c>
    </row>
    <row r="46" spans="1:12">
      <c r="A46" s="408">
        <v>3833</v>
      </c>
      <c r="B46" s="812" t="s">
        <v>768</v>
      </c>
      <c r="C46" s="812"/>
      <c r="D46" s="408" t="s">
        <v>769</v>
      </c>
      <c r="E46" s="408" t="s">
        <v>770</v>
      </c>
      <c r="F46" s="408" t="s">
        <v>583</v>
      </c>
      <c r="G46" s="408" t="s">
        <v>771</v>
      </c>
      <c r="H46" s="408" t="s">
        <v>583</v>
      </c>
      <c r="I46" s="408" t="s">
        <v>583</v>
      </c>
      <c r="J46" s="408" t="s">
        <v>583</v>
      </c>
      <c r="K46" s="408" t="s">
        <v>583</v>
      </c>
      <c r="L46" s="408" t="s">
        <v>771</v>
      </c>
    </row>
    <row r="47" spans="1:12">
      <c r="A47" s="408">
        <v>3836</v>
      </c>
      <c r="B47" s="812" t="s">
        <v>772</v>
      </c>
      <c r="C47" s="812"/>
      <c r="D47" s="408" t="s">
        <v>583</v>
      </c>
      <c r="E47" s="408" t="s">
        <v>773</v>
      </c>
      <c r="F47" s="408" t="s">
        <v>583</v>
      </c>
      <c r="G47" s="408" t="s">
        <v>773</v>
      </c>
      <c r="H47" s="408" t="s">
        <v>583</v>
      </c>
      <c r="I47" s="408" t="s">
        <v>583</v>
      </c>
      <c r="J47" s="408" t="s">
        <v>583</v>
      </c>
      <c r="K47" s="408" t="s">
        <v>583</v>
      </c>
      <c r="L47" s="408" t="s">
        <v>773</v>
      </c>
    </row>
    <row r="48" spans="1:12">
      <c r="A48" s="408">
        <v>4000</v>
      </c>
      <c r="B48" s="812" t="s">
        <v>774</v>
      </c>
      <c r="C48" s="812"/>
      <c r="D48" s="408" t="s">
        <v>775</v>
      </c>
      <c r="E48" s="408" t="s">
        <v>583</v>
      </c>
      <c r="F48" s="408" t="s">
        <v>583</v>
      </c>
      <c r="G48" s="408" t="s">
        <v>775</v>
      </c>
      <c r="H48" s="408" t="s">
        <v>583</v>
      </c>
      <c r="I48" s="408" t="s">
        <v>583</v>
      </c>
      <c r="J48" s="408" t="s">
        <v>583</v>
      </c>
      <c r="K48" s="408" t="s">
        <v>583</v>
      </c>
      <c r="L48" s="408" t="s">
        <v>775</v>
      </c>
    </row>
    <row r="49" spans="1:12">
      <c r="A49" s="408">
        <v>4001</v>
      </c>
      <c r="B49" s="812" t="s">
        <v>776</v>
      </c>
      <c r="C49" s="812"/>
      <c r="D49" s="408" t="s">
        <v>777</v>
      </c>
      <c r="E49" s="408" t="s">
        <v>778</v>
      </c>
      <c r="F49" s="408" t="s">
        <v>583</v>
      </c>
      <c r="G49" s="408" t="s">
        <v>779</v>
      </c>
      <c r="H49" s="408" t="s">
        <v>1161</v>
      </c>
      <c r="I49" s="408" t="s">
        <v>1162</v>
      </c>
      <c r="J49" s="408" t="s">
        <v>1163</v>
      </c>
      <c r="K49" s="408" t="s">
        <v>583</v>
      </c>
      <c r="L49" s="408" t="s">
        <v>1164</v>
      </c>
    </row>
    <row r="50" spans="1:12">
      <c r="A50" s="408">
        <v>4011</v>
      </c>
      <c r="B50" s="812" t="s">
        <v>782</v>
      </c>
      <c r="C50" s="812"/>
      <c r="D50" s="408" t="s">
        <v>783</v>
      </c>
      <c r="E50" s="408" t="s">
        <v>784</v>
      </c>
      <c r="F50" s="408" t="s">
        <v>583</v>
      </c>
      <c r="G50" s="408" t="s">
        <v>785</v>
      </c>
      <c r="H50" s="408" t="s">
        <v>1165</v>
      </c>
      <c r="I50" s="408" t="s">
        <v>583</v>
      </c>
      <c r="J50" s="408" t="s">
        <v>1165</v>
      </c>
      <c r="K50" s="408" t="s">
        <v>583</v>
      </c>
      <c r="L50" s="408" t="s">
        <v>1166</v>
      </c>
    </row>
    <row r="51" spans="1:12">
      <c r="A51" s="408">
        <v>4030</v>
      </c>
      <c r="B51" s="812" t="s">
        <v>788</v>
      </c>
      <c r="C51" s="812"/>
      <c r="D51" s="408" t="s">
        <v>789</v>
      </c>
      <c r="E51" s="408" t="s">
        <v>583</v>
      </c>
      <c r="F51" s="408" t="s">
        <v>583</v>
      </c>
      <c r="G51" s="408" t="s">
        <v>789</v>
      </c>
      <c r="H51" s="408" t="s">
        <v>583</v>
      </c>
      <c r="I51" s="408" t="s">
        <v>583</v>
      </c>
      <c r="J51" s="408" t="s">
        <v>583</v>
      </c>
      <c r="K51" s="408" t="s">
        <v>583</v>
      </c>
      <c r="L51" s="408" t="s">
        <v>789</v>
      </c>
    </row>
    <row r="52" spans="1:12">
      <c r="A52" s="408">
        <v>4050</v>
      </c>
      <c r="B52" s="812" t="s">
        <v>790</v>
      </c>
      <c r="C52" s="812"/>
      <c r="D52" s="408" t="s">
        <v>791</v>
      </c>
      <c r="E52" s="408" t="s">
        <v>792</v>
      </c>
      <c r="F52" s="408" t="s">
        <v>583</v>
      </c>
      <c r="G52" s="408" t="s">
        <v>793</v>
      </c>
      <c r="H52" s="408" t="s">
        <v>1167</v>
      </c>
      <c r="I52" s="408" t="s">
        <v>1168</v>
      </c>
      <c r="J52" s="408" t="s">
        <v>1169</v>
      </c>
      <c r="K52" s="408" t="s">
        <v>583</v>
      </c>
      <c r="L52" s="408" t="s">
        <v>1170</v>
      </c>
    </row>
    <row r="53" spans="1:12">
      <c r="A53" s="408">
        <v>4051</v>
      </c>
      <c r="B53" s="812" t="s">
        <v>796</v>
      </c>
      <c r="C53" s="812"/>
      <c r="D53" s="408" t="s">
        <v>797</v>
      </c>
      <c r="E53" s="408" t="s">
        <v>798</v>
      </c>
      <c r="F53" s="408" t="s">
        <v>583</v>
      </c>
      <c r="G53" s="408" t="s">
        <v>799</v>
      </c>
      <c r="H53" s="408" t="s">
        <v>583</v>
      </c>
      <c r="I53" s="408" t="s">
        <v>583</v>
      </c>
      <c r="J53" s="408" t="s">
        <v>583</v>
      </c>
      <c r="K53" s="408" t="s">
        <v>583</v>
      </c>
      <c r="L53" s="408" t="s">
        <v>799</v>
      </c>
    </row>
    <row r="54" spans="1:12">
      <c r="A54" s="408">
        <v>4080</v>
      </c>
      <c r="B54" s="812" t="s">
        <v>800</v>
      </c>
      <c r="C54" s="812"/>
      <c r="D54" s="408" t="s">
        <v>801</v>
      </c>
      <c r="E54" s="408" t="s">
        <v>583</v>
      </c>
      <c r="F54" s="408" t="s">
        <v>583</v>
      </c>
      <c r="G54" s="408" t="s">
        <v>801</v>
      </c>
      <c r="H54" s="408" t="s">
        <v>583</v>
      </c>
      <c r="I54" s="408" t="s">
        <v>583</v>
      </c>
      <c r="J54" s="408" t="s">
        <v>583</v>
      </c>
      <c r="K54" s="408" t="s">
        <v>583</v>
      </c>
      <c r="L54" s="408" t="s">
        <v>801</v>
      </c>
    </row>
    <row r="55" spans="1:12">
      <c r="A55" s="408">
        <v>4090</v>
      </c>
      <c r="B55" s="812" t="s">
        <v>802</v>
      </c>
      <c r="C55" s="812"/>
      <c r="D55" s="408" t="s">
        <v>803</v>
      </c>
      <c r="E55" s="408" t="s">
        <v>804</v>
      </c>
      <c r="F55" s="408" t="s">
        <v>583</v>
      </c>
      <c r="G55" s="408" t="s">
        <v>805</v>
      </c>
      <c r="H55" s="408" t="s">
        <v>806</v>
      </c>
      <c r="I55" s="408" t="s">
        <v>583</v>
      </c>
      <c r="J55" s="408" t="s">
        <v>806</v>
      </c>
      <c r="K55" s="408" t="s">
        <v>583</v>
      </c>
      <c r="L55" s="408" t="s">
        <v>807</v>
      </c>
    </row>
    <row r="56" spans="1:12">
      <c r="A56" s="408">
        <v>4160</v>
      </c>
      <c r="B56" s="812" t="s">
        <v>808</v>
      </c>
      <c r="C56" s="812"/>
      <c r="D56" s="408" t="s">
        <v>809</v>
      </c>
      <c r="E56" s="408" t="s">
        <v>810</v>
      </c>
      <c r="F56" s="408" t="s">
        <v>583</v>
      </c>
      <c r="G56" s="408" t="s">
        <v>811</v>
      </c>
      <c r="H56" s="408" t="s">
        <v>583</v>
      </c>
      <c r="I56" s="408" t="s">
        <v>583</v>
      </c>
      <c r="J56" s="408" t="s">
        <v>583</v>
      </c>
      <c r="K56" s="408" t="s">
        <v>583</v>
      </c>
      <c r="L56" s="408" t="s">
        <v>811</v>
      </c>
    </row>
    <row r="57" spans="1:12">
      <c r="A57" s="408">
        <v>4170</v>
      </c>
      <c r="B57" s="812" t="s">
        <v>812</v>
      </c>
      <c r="C57" s="812"/>
      <c r="D57" s="408" t="s">
        <v>813</v>
      </c>
      <c r="E57" s="408" t="s">
        <v>814</v>
      </c>
      <c r="F57" s="408" t="s">
        <v>583</v>
      </c>
      <c r="G57" s="408" t="s">
        <v>815</v>
      </c>
      <c r="H57" s="408" t="s">
        <v>816</v>
      </c>
      <c r="I57" s="408" t="s">
        <v>583</v>
      </c>
      <c r="J57" s="408" t="s">
        <v>816</v>
      </c>
      <c r="K57" s="408" t="s">
        <v>583</v>
      </c>
      <c r="L57" s="408" t="s">
        <v>817</v>
      </c>
    </row>
    <row r="58" spans="1:12">
      <c r="A58" s="408">
        <v>4190</v>
      </c>
      <c r="B58" s="812" t="s">
        <v>818</v>
      </c>
      <c r="C58" s="812"/>
      <c r="D58" s="408" t="s">
        <v>819</v>
      </c>
      <c r="E58" s="408" t="s">
        <v>820</v>
      </c>
      <c r="F58" s="408" t="s">
        <v>583</v>
      </c>
      <c r="G58" s="408" t="s">
        <v>821</v>
      </c>
      <c r="H58" s="408" t="s">
        <v>583</v>
      </c>
      <c r="I58" s="408" t="s">
        <v>583</v>
      </c>
      <c r="J58" s="408" t="s">
        <v>583</v>
      </c>
      <c r="K58" s="408" t="s">
        <v>583</v>
      </c>
      <c r="L58" s="408" t="s">
        <v>821</v>
      </c>
    </row>
    <row r="59" spans="1:12">
      <c r="A59" s="408">
        <v>4220</v>
      </c>
      <c r="B59" s="812" t="s">
        <v>822</v>
      </c>
      <c r="C59" s="812"/>
      <c r="D59" s="408" t="s">
        <v>823</v>
      </c>
      <c r="E59" s="408" t="s">
        <v>824</v>
      </c>
      <c r="F59" s="408" t="s">
        <v>583</v>
      </c>
      <c r="G59" s="408" t="s">
        <v>825</v>
      </c>
      <c r="H59" s="408" t="s">
        <v>826</v>
      </c>
      <c r="I59" s="408" t="s">
        <v>583</v>
      </c>
      <c r="J59" s="408" t="s">
        <v>826</v>
      </c>
      <c r="K59" s="408" t="s">
        <v>583</v>
      </c>
      <c r="L59" s="408" t="s">
        <v>827</v>
      </c>
    </row>
    <row r="60" spans="1:12">
      <c r="A60" s="408">
        <v>4234</v>
      </c>
      <c r="B60" s="812" t="s">
        <v>828</v>
      </c>
      <c r="C60" s="812"/>
      <c r="D60" s="408" t="s">
        <v>829</v>
      </c>
      <c r="E60" s="408" t="s">
        <v>583</v>
      </c>
      <c r="F60" s="408" t="s">
        <v>583</v>
      </c>
      <c r="G60" s="408" t="s">
        <v>829</v>
      </c>
      <c r="H60" s="408" t="s">
        <v>583</v>
      </c>
      <c r="I60" s="408" t="s">
        <v>583</v>
      </c>
      <c r="J60" s="408" t="s">
        <v>583</v>
      </c>
      <c r="K60" s="408" t="s">
        <v>583</v>
      </c>
      <c r="L60" s="408" t="s">
        <v>829</v>
      </c>
    </row>
    <row r="61" spans="1:12">
      <c r="A61" s="408">
        <v>4270</v>
      </c>
      <c r="B61" s="812" t="s">
        <v>830</v>
      </c>
      <c r="C61" s="812"/>
      <c r="D61" s="408" t="s">
        <v>831</v>
      </c>
      <c r="E61" s="408" t="s">
        <v>832</v>
      </c>
      <c r="F61" s="408" t="s">
        <v>583</v>
      </c>
      <c r="G61" s="408" t="s">
        <v>833</v>
      </c>
      <c r="H61" s="408" t="s">
        <v>583</v>
      </c>
      <c r="I61" s="408" t="s">
        <v>583</v>
      </c>
      <c r="J61" s="408" t="s">
        <v>583</v>
      </c>
      <c r="K61" s="408" t="s">
        <v>583</v>
      </c>
      <c r="L61" s="408" t="s">
        <v>833</v>
      </c>
    </row>
    <row r="62" spans="1:12">
      <c r="A62" s="408">
        <v>4290</v>
      </c>
      <c r="B62" s="812" t="s">
        <v>834</v>
      </c>
      <c r="C62" s="812"/>
      <c r="D62" s="408" t="s">
        <v>835</v>
      </c>
      <c r="E62" s="408" t="s">
        <v>583</v>
      </c>
      <c r="F62" s="408" t="s">
        <v>583</v>
      </c>
      <c r="G62" s="408" t="s">
        <v>835</v>
      </c>
      <c r="H62" s="408" t="s">
        <v>583</v>
      </c>
      <c r="I62" s="408" t="s">
        <v>583</v>
      </c>
      <c r="J62" s="408" t="s">
        <v>583</v>
      </c>
      <c r="K62" s="408" t="s">
        <v>583</v>
      </c>
      <c r="L62" s="408" t="s">
        <v>835</v>
      </c>
    </row>
    <row r="63" spans="1:12">
      <c r="A63" s="408">
        <v>4292</v>
      </c>
      <c r="B63" s="812" t="s">
        <v>836</v>
      </c>
      <c r="C63" s="812"/>
      <c r="D63" s="408" t="s">
        <v>837</v>
      </c>
      <c r="E63" s="408" t="s">
        <v>838</v>
      </c>
      <c r="F63" s="408" t="s">
        <v>583</v>
      </c>
      <c r="G63" s="408" t="s">
        <v>839</v>
      </c>
      <c r="H63" s="408" t="s">
        <v>583</v>
      </c>
      <c r="I63" s="408" t="s">
        <v>583</v>
      </c>
      <c r="J63" s="408" t="s">
        <v>583</v>
      </c>
      <c r="K63" s="408" t="s">
        <v>583</v>
      </c>
      <c r="L63" s="408" t="s">
        <v>839</v>
      </c>
    </row>
    <row r="64" spans="1:12">
      <c r="A64" s="408">
        <v>4293</v>
      </c>
      <c r="B64" s="812" t="s">
        <v>840</v>
      </c>
      <c r="C64" s="812"/>
      <c r="D64" s="408" t="s">
        <v>841</v>
      </c>
      <c r="E64" s="408" t="s">
        <v>842</v>
      </c>
      <c r="F64" s="408" t="s">
        <v>583</v>
      </c>
      <c r="G64" s="408" t="s">
        <v>843</v>
      </c>
      <c r="H64" s="408" t="s">
        <v>583</v>
      </c>
      <c r="I64" s="408" t="s">
        <v>583</v>
      </c>
      <c r="J64" s="408" t="s">
        <v>583</v>
      </c>
      <c r="K64" s="408" t="s">
        <v>583</v>
      </c>
      <c r="L64" s="408" t="s">
        <v>843</v>
      </c>
    </row>
    <row r="65" spans="1:12">
      <c r="A65" s="408">
        <v>4294</v>
      </c>
      <c r="B65" s="812" t="s">
        <v>844</v>
      </c>
      <c r="C65" s="812"/>
      <c r="D65" s="408" t="s">
        <v>845</v>
      </c>
      <c r="E65" s="408" t="s">
        <v>846</v>
      </c>
      <c r="F65" s="408" t="s">
        <v>583</v>
      </c>
      <c r="G65" s="408" t="s">
        <v>847</v>
      </c>
      <c r="H65" s="408" t="s">
        <v>583</v>
      </c>
      <c r="I65" s="408" t="s">
        <v>583</v>
      </c>
      <c r="J65" s="408" t="s">
        <v>583</v>
      </c>
      <c r="K65" s="408" t="s">
        <v>583</v>
      </c>
      <c r="L65" s="408" t="s">
        <v>847</v>
      </c>
    </row>
    <row r="66" spans="1:12">
      <c r="A66" s="408">
        <v>4295</v>
      </c>
      <c r="B66" s="812" t="s">
        <v>848</v>
      </c>
      <c r="C66" s="812"/>
      <c r="D66" s="408" t="s">
        <v>849</v>
      </c>
      <c r="E66" s="408" t="s">
        <v>850</v>
      </c>
      <c r="F66" s="408" t="s">
        <v>583</v>
      </c>
      <c r="G66" s="408" t="s">
        <v>851</v>
      </c>
      <c r="H66" s="408" t="s">
        <v>583</v>
      </c>
      <c r="I66" s="408" t="s">
        <v>583</v>
      </c>
      <c r="J66" s="408" t="s">
        <v>583</v>
      </c>
      <c r="K66" s="408" t="s">
        <v>583</v>
      </c>
      <c r="L66" s="408" t="s">
        <v>851</v>
      </c>
    </row>
    <row r="67" spans="1:12">
      <c r="A67" s="408">
        <v>4500</v>
      </c>
      <c r="B67" s="812" t="s">
        <v>852</v>
      </c>
      <c r="C67" s="812"/>
      <c r="D67" s="408" t="s">
        <v>853</v>
      </c>
      <c r="E67" s="408" t="s">
        <v>1171</v>
      </c>
      <c r="F67" s="408" t="s">
        <v>583</v>
      </c>
      <c r="G67" s="408" t="s">
        <v>1172</v>
      </c>
      <c r="H67" s="408" t="s">
        <v>1173</v>
      </c>
      <c r="I67" s="408" t="s">
        <v>1174</v>
      </c>
      <c r="J67" s="408" t="s">
        <v>1175</v>
      </c>
      <c r="K67" s="408" t="s">
        <v>583</v>
      </c>
      <c r="L67" s="408" t="s">
        <v>1176</v>
      </c>
    </row>
    <row r="68" spans="1:12">
      <c r="A68" s="408">
        <v>4501</v>
      </c>
      <c r="B68" s="812" t="s">
        <v>858</v>
      </c>
      <c r="C68" s="812"/>
      <c r="D68" s="408" t="s">
        <v>859</v>
      </c>
      <c r="E68" s="408" t="s">
        <v>1177</v>
      </c>
      <c r="F68" s="408" t="s">
        <v>583</v>
      </c>
      <c r="G68" s="408" t="s">
        <v>1178</v>
      </c>
      <c r="H68" s="408" t="s">
        <v>1179</v>
      </c>
      <c r="I68" s="408" t="s">
        <v>1180</v>
      </c>
      <c r="J68" s="408" t="s">
        <v>1181</v>
      </c>
      <c r="K68" s="408" t="s">
        <v>583</v>
      </c>
      <c r="L68" s="408" t="s">
        <v>1182</v>
      </c>
    </row>
    <row r="69" spans="1:12">
      <c r="A69" s="408">
        <v>4502</v>
      </c>
      <c r="B69" s="812" t="s">
        <v>864</v>
      </c>
      <c r="C69" s="812"/>
      <c r="D69" s="408" t="s">
        <v>865</v>
      </c>
      <c r="E69" s="408" t="s">
        <v>1183</v>
      </c>
      <c r="F69" s="408" t="s">
        <v>583</v>
      </c>
      <c r="G69" s="408" t="s">
        <v>1184</v>
      </c>
      <c r="H69" s="408" t="s">
        <v>1185</v>
      </c>
      <c r="I69" s="408" t="s">
        <v>1186</v>
      </c>
      <c r="J69" s="408" t="s">
        <v>1187</v>
      </c>
      <c r="K69" s="408" t="s">
        <v>583</v>
      </c>
      <c r="L69" s="408" t="s">
        <v>1188</v>
      </c>
    </row>
    <row r="70" spans="1:12">
      <c r="A70" s="408">
        <v>4503</v>
      </c>
      <c r="B70" s="812" t="s">
        <v>870</v>
      </c>
      <c r="C70" s="812"/>
      <c r="D70" s="408" t="s">
        <v>871</v>
      </c>
      <c r="E70" s="408" t="s">
        <v>1189</v>
      </c>
      <c r="F70" s="408" t="s">
        <v>583</v>
      </c>
      <c r="G70" s="408" t="s">
        <v>1190</v>
      </c>
      <c r="H70" s="408" t="s">
        <v>1191</v>
      </c>
      <c r="I70" s="408" t="s">
        <v>1053</v>
      </c>
      <c r="J70" s="408" t="s">
        <v>1192</v>
      </c>
      <c r="K70" s="408" t="s">
        <v>583</v>
      </c>
      <c r="L70" s="408" t="s">
        <v>1193</v>
      </c>
    </row>
    <row r="71" spans="1:12">
      <c r="A71" s="408">
        <v>4504</v>
      </c>
      <c r="B71" s="812" t="s">
        <v>876</v>
      </c>
      <c r="C71" s="812"/>
      <c r="D71" s="408" t="s">
        <v>877</v>
      </c>
      <c r="E71" s="408" t="s">
        <v>878</v>
      </c>
      <c r="F71" s="408" t="s">
        <v>583</v>
      </c>
      <c r="G71" s="408" t="s">
        <v>879</v>
      </c>
      <c r="H71" s="408" t="s">
        <v>583</v>
      </c>
      <c r="I71" s="408" t="s">
        <v>583</v>
      </c>
      <c r="J71" s="408" t="s">
        <v>583</v>
      </c>
      <c r="K71" s="408" t="s">
        <v>583</v>
      </c>
      <c r="L71" s="408" t="s">
        <v>879</v>
      </c>
    </row>
    <row r="72" spans="1:12">
      <c r="A72" s="408">
        <v>4505</v>
      </c>
      <c r="B72" s="812" t="s">
        <v>880</v>
      </c>
      <c r="C72" s="812"/>
      <c r="D72" s="408" t="s">
        <v>881</v>
      </c>
      <c r="E72" s="408" t="s">
        <v>882</v>
      </c>
      <c r="F72" s="408" t="s">
        <v>583</v>
      </c>
      <c r="G72" s="408" t="s">
        <v>883</v>
      </c>
      <c r="H72" s="408" t="s">
        <v>1194</v>
      </c>
      <c r="I72" s="408" t="s">
        <v>583</v>
      </c>
      <c r="J72" s="408" t="s">
        <v>1194</v>
      </c>
      <c r="K72" s="408" t="s">
        <v>583</v>
      </c>
      <c r="L72" s="408" t="s">
        <v>1195</v>
      </c>
    </row>
    <row r="73" spans="1:12">
      <c r="A73" s="408">
        <v>4506</v>
      </c>
      <c r="B73" s="812" t="s">
        <v>886</v>
      </c>
      <c r="C73" s="812"/>
      <c r="D73" s="408" t="s">
        <v>887</v>
      </c>
      <c r="E73" s="408" t="s">
        <v>888</v>
      </c>
      <c r="F73" s="408" t="s">
        <v>583</v>
      </c>
      <c r="G73" s="408" t="s">
        <v>889</v>
      </c>
      <c r="H73" s="408" t="s">
        <v>583</v>
      </c>
      <c r="I73" s="408" t="s">
        <v>583</v>
      </c>
      <c r="J73" s="408" t="s">
        <v>583</v>
      </c>
      <c r="K73" s="408" t="s">
        <v>583</v>
      </c>
      <c r="L73" s="408" t="s">
        <v>889</v>
      </c>
    </row>
    <row r="74" spans="1:12">
      <c r="A74" s="408">
        <v>4507</v>
      </c>
      <c r="B74" s="812" t="s">
        <v>890</v>
      </c>
      <c r="C74" s="812"/>
      <c r="D74" s="408" t="s">
        <v>891</v>
      </c>
      <c r="E74" s="408" t="s">
        <v>892</v>
      </c>
      <c r="F74" s="408" t="s">
        <v>583</v>
      </c>
      <c r="G74" s="408" t="s">
        <v>893</v>
      </c>
      <c r="H74" s="408" t="s">
        <v>583</v>
      </c>
      <c r="I74" s="408" t="s">
        <v>583</v>
      </c>
      <c r="J74" s="408" t="s">
        <v>583</v>
      </c>
      <c r="K74" s="408" t="s">
        <v>583</v>
      </c>
      <c r="L74" s="408" t="s">
        <v>893</v>
      </c>
    </row>
    <row r="75" spans="1:12">
      <c r="A75" s="408">
        <v>4509</v>
      </c>
      <c r="B75" s="812" t="s">
        <v>894</v>
      </c>
      <c r="C75" s="812"/>
      <c r="D75" s="408" t="s">
        <v>895</v>
      </c>
      <c r="E75" s="408" t="s">
        <v>896</v>
      </c>
      <c r="F75" s="408" t="s">
        <v>583</v>
      </c>
      <c r="G75" s="408" t="s">
        <v>897</v>
      </c>
      <c r="H75" s="408" t="s">
        <v>583</v>
      </c>
      <c r="I75" s="408" t="s">
        <v>583</v>
      </c>
      <c r="J75" s="408" t="s">
        <v>583</v>
      </c>
      <c r="K75" s="408" t="s">
        <v>583</v>
      </c>
      <c r="L75" s="408" t="s">
        <v>897</v>
      </c>
    </row>
    <row r="76" spans="1:12">
      <c r="A76" s="408">
        <v>4511</v>
      </c>
      <c r="B76" s="812" t="s">
        <v>898</v>
      </c>
      <c r="C76" s="812"/>
      <c r="D76" s="408" t="s">
        <v>899</v>
      </c>
      <c r="E76" s="408" t="s">
        <v>900</v>
      </c>
      <c r="F76" s="408" t="s">
        <v>583</v>
      </c>
      <c r="G76" s="408" t="s">
        <v>901</v>
      </c>
      <c r="H76" s="408" t="s">
        <v>1196</v>
      </c>
      <c r="I76" s="408" t="s">
        <v>1064</v>
      </c>
      <c r="J76" s="408" t="s">
        <v>1197</v>
      </c>
      <c r="K76" s="408" t="s">
        <v>583</v>
      </c>
      <c r="L76" s="408" t="s">
        <v>1198</v>
      </c>
    </row>
    <row r="77" spans="1:12">
      <c r="A77" s="408">
        <v>4512</v>
      </c>
      <c r="B77" s="812" t="s">
        <v>906</v>
      </c>
      <c r="C77" s="812"/>
      <c r="D77" s="408" t="s">
        <v>907</v>
      </c>
      <c r="E77" s="408" t="s">
        <v>908</v>
      </c>
      <c r="F77" s="408" t="s">
        <v>583</v>
      </c>
      <c r="G77" s="408" t="s">
        <v>909</v>
      </c>
      <c r="H77" s="408" t="s">
        <v>583</v>
      </c>
      <c r="I77" s="408" t="s">
        <v>583</v>
      </c>
      <c r="J77" s="408" t="s">
        <v>583</v>
      </c>
      <c r="K77" s="408" t="s">
        <v>583</v>
      </c>
      <c r="L77" s="408" t="s">
        <v>909</v>
      </c>
    </row>
    <row r="78" spans="1:12">
      <c r="A78" s="408">
        <v>4986</v>
      </c>
      <c r="B78" s="812" t="s">
        <v>910</v>
      </c>
      <c r="C78" s="812"/>
      <c r="D78" s="408" t="s">
        <v>911</v>
      </c>
      <c r="E78" s="408" t="s">
        <v>583</v>
      </c>
      <c r="F78" s="408" t="s">
        <v>583</v>
      </c>
      <c r="G78" s="408" t="s">
        <v>911</v>
      </c>
      <c r="H78" s="408" t="s">
        <v>583</v>
      </c>
      <c r="I78" s="408" t="s">
        <v>583</v>
      </c>
      <c r="J78" s="408" t="s">
        <v>583</v>
      </c>
      <c r="K78" s="408" t="s">
        <v>583</v>
      </c>
      <c r="L78" s="408" t="s">
        <v>911</v>
      </c>
    </row>
    <row r="79" spans="1:12">
      <c r="A79" s="408">
        <v>8001</v>
      </c>
      <c r="B79" s="812" t="s">
        <v>912</v>
      </c>
      <c r="C79" s="812"/>
      <c r="D79" s="408" t="s">
        <v>913</v>
      </c>
      <c r="E79" s="408" t="s">
        <v>583</v>
      </c>
      <c r="F79" s="408" t="s">
        <v>583</v>
      </c>
      <c r="G79" s="408" t="s">
        <v>913</v>
      </c>
      <c r="H79" s="408" t="s">
        <v>583</v>
      </c>
      <c r="I79" s="408" t="s">
        <v>583</v>
      </c>
      <c r="J79" s="408" t="s">
        <v>583</v>
      </c>
      <c r="K79" s="408" t="s">
        <v>583</v>
      </c>
      <c r="L79" s="408" t="s">
        <v>913</v>
      </c>
    </row>
    <row r="80" spans="1:12">
      <c r="A80" s="408">
        <v>8024</v>
      </c>
      <c r="B80" s="812" t="s">
        <v>914</v>
      </c>
      <c r="C80" s="812"/>
      <c r="D80" s="408" t="s">
        <v>915</v>
      </c>
      <c r="E80" s="408" t="s">
        <v>583</v>
      </c>
      <c r="F80" s="408" t="s">
        <v>583</v>
      </c>
      <c r="G80" s="408" t="s">
        <v>915</v>
      </c>
      <c r="H80" s="408" t="s">
        <v>583</v>
      </c>
      <c r="I80" s="408" t="s">
        <v>583</v>
      </c>
      <c r="J80" s="408" t="s">
        <v>583</v>
      </c>
      <c r="K80" s="408" t="s">
        <v>583</v>
      </c>
      <c r="L80" s="408" t="s">
        <v>915</v>
      </c>
    </row>
    <row r="81" spans="1:12">
      <c r="A81" s="408">
        <v>8050</v>
      </c>
      <c r="B81" s="812" t="s">
        <v>916</v>
      </c>
      <c r="C81" s="812"/>
      <c r="D81" s="408" t="s">
        <v>917</v>
      </c>
      <c r="E81" s="408" t="s">
        <v>583</v>
      </c>
      <c r="F81" s="408" t="s">
        <v>583</v>
      </c>
      <c r="G81" s="408" t="s">
        <v>917</v>
      </c>
      <c r="H81" s="408" t="s">
        <v>583</v>
      </c>
      <c r="I81" s="408" t="s">
        <v>583</v>
      </c>
      <c r="J81" s="408" t="s">
        <v>583</v>
      </c>
      <c r="K81" s="408" t="s">
        <v>583</v>
      </c>
      <c r="L81" s="408" t="s">
        <v>917</v>
      </c>
    </row>
    <row r="83" spans="1:12">
      <c r="A83" s="815" t="s">
        <v>211</v>
      </c>
      <c r="B83" s="815"/>
      <c r="C83" s="815"/>
      <c r="D83" s="409" t="s">
        <v>918</v>
      </c>
      <c r="E83" s="409" t="s">
        <v>1199</v>
      </c>
      <c r="F83" s="409" t="s">
        <v>574</v>
      </c>
      <c r="G83" s="409" t="s">
        <v>1200</v>
      </c>
      <c r="H83" s="409" t="s">
        <v>1201</v>
      </c>
      <c r="I83" s="409" t="s">
        <v>1202</v>
      </c>
      <c r="J83" s="409" t="s">
        <v>1203</v>
      </c>
      <c r="K83" s="409" t="s">
        <v>574</v>
      </c>
      <c r="L83" s="409" t="s">
        <v>1204</v>
      </c>
    </row>
  </sheetData>
  <mergeCells count="84">
    <mergeCell ref="A83:C83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J6:J7"/>
    <mergeCell ref="K6:K7"/>
    <mergeCell ref="L6:L7"/>
    <mergeCell ref="B8:C8"/>
    <mergeCell ref="B9:C9"/>
    <mergeCell ref="H6:H7"/>
    <mergeCell ref="I6:I7"/>
    <mergeCell ref="B10:C10"/>
    <mergeCell ref="D6:D7"/>
    <mergeCell ref="E6:E7"/>
    <mergeCell ref="F6:F7"/>
    <mergeCell ref="G6:G7"/>
  </mergeCell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RREO_Jun_2021</vt:lpstr>
      <vt:lpstr>BalOrç</vt:lpstr>
      <vt:lpstr>SubFunç</vt:lpstr>
      <vt:lpstr>RPPS</vt:lpstr>
      <vt:lpstr>MDE</vt:lpstr>
      <vt:lpstr>Saúde</vt:lpstr>
      <vt:lpstr>Dívida</vt:lpstr>
      <vt:lpstr>RCL</vt:lpstr>
      <vt:lpstr>DCLP</vt:lpstr>
      <vt:lpstr>DCLP_RCL</vt:lpstr>
      <vt:lpstr>RGF</vt:lpstr>
      <vt:lpstr>AcompFAPS</vt:lpstr>
      <vt:lpstr>Exec_Orç</vt:lpstr>
      <vt:lpstr>DespSEDUC</vt:lpstr>
      <vt:lpstr>Míni</vt:lpstr>
      <vt:lpstr>Cronogra</vt:lpstr>
      <vt:lpstr>Cruz</vt:lpstr>
      <vt:lpstr>Emp</vt:lpstr>
      <vt:lpstr>Liquid</vt:lpstr>
      <vt:lpstr>Pgtos</vt:lpstr>
      <vt:lpstr>RAP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2021-07-29T12:39:12Z</cp:lastPrinted>
  <dcterms:created xsi:type="dcterms:W3CDTF">2021-06-02T17:39:55Z</dcterms:created>
  <dcterms:modified xsi:type="dcterms:W3CDTF">2021-07-29T12:44:52Z</dcterms:modified>
</cp:coreProperties>
</file>